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05" yWindow="360" windowWidth="13860" windowHeight="11640" tabRatio="547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'Лист1'!$A$11:$J$822</definedName>
    <definedName name="_xlnm.Print_Area" localSheetId="0">'Лист1'!$A$1:$J$822</definedName>
  </definedNames>
  <calcPr fullCalcOnLoad="1"/>
</workbook>
</file>

<file path=xl/sharedStrings.xml><?xml version="1.0" encoding="utf-8"?>
<sst xmlns="http://schemas.openxmlformats.org/spreadsheetml/2006/main" count="3258" uniqueCount="624">
  <si>
    <t>Размер,мм</t>
  </si>
  <si>
    <t>30ХГСА</t>
  </si>
  <si>
    <t>Круг нержавеющий</t>
  </si>
  <si>
    <t xml:space="preserve">Цена (руб/тн с НДС)     </t>
  </si>
  <si>
    <t>Ед.</t>
  </si>
  <si>
    <t>Начальный
остаток</t>
  </si>
  <si>
    <t>Категория</t>
  </si>
  <si>
    <t>Сталь</t>
  </si>
  <si>
    <t>тн</t>
  </si>
  <si>
    <t>40ХН2МА</t>
  </si>
  <si>
    <t>Лист</t>
  </si>
  <si>
    <t>65Г</t>
  </si>
  <si>
    <t>Примечания</t>
  </si>
  <si>
    <t>сталь 20</t>
  </si>
  <si>
    <t>ХВГ</t>
  </si>
  <si>
    <t>Лист нержавеющий</t>
  </si>
  <si>
    <t>Шестигранник нержавеющий</t>
  </si>
  <si>
    <t>71.20</t>
  </si>
  <si>
    <t>ШХ15</t>
  </si>
  <si>
    <t>Р6М5</t>
  </si>
  <si>
    <t>А12</t>
  </si>
  <si>
    <t>ООО “ПрофПрокат”</t>
  </si>
  <si>
    <t>тел./факс +7(495)988-92-11 (многоканальный)</t>
  </si>
  <si>
    <t>4Х4ВМФС(ДИ22)</t>
  </si>
  <si>
    <t>Х12Ф1</t>
  </si>
  <si>
    <t>Лента нержавеющая</t>
  </si>
  <si>
    <t>ст3сп</t>
  </si>
  <si>
    <t>12ХН3А</t>
  </si>
  <si>
    <t>Круг электротехнический</t>
  </si>
  <si>
    <t>Круг конструкционный</t>
  </si>
  <si>
    <t>Круг инструментальный</t>
  </si>
  <si>
    <t>Круг шарикоподшипниковый</t>
  </si>
  <si>
    <t>Полоса инструментальная</t>
  </si>
  <si>
    <t>Лист электротехнический</t>
  </si>
  <si>
    <t>15Х25Т(ЭИ439)</t>
  </si>
  <si>
    <t>10880/Э10/АРМКО</t>
  </si>
  <si>
    <t>10895/Э12/АРМКО</t>
  </si>
  <si>
    <t>40Х9С2(СХ8)</t>
  </si>
  <si>
    <t>ГОСТ 2590-2006,ТУ 14-1-915-74</t>
  </si>
  <si>
    <t>ГОСТ 8560-78,ТУ 14-1-1791-76,АТП,в бухтах</t>
  </si>
  <si>
    <t>Труба</t>
  </si>
  <si>
    <t>17Г1С</t>
  </si>
  <si>
    <t>Х12МФ</t>
  </si>
  <si>
    <t>Квадрат нержавеющий</t>
  </si>
  <si>
    <t>30ХГСА-СШ</t>
  </si>
  <si>
    <t>калибров.,ТУ 14-1-950-86,h11</t>
  </si>
  <si>
    <t>12Х15Г9НД(AISI 201)</t>
  </si>
  <si>
    <t>ГОСТ 8560-78,ТУ-14-1-3957-85,бухта</t>
  </si>
  <si>
    <t>склад: г.Москва, ул.Грайвороновская,дом.25,стр.5</t>
  </si>
  <si>
    <t>web: www.profprokat.ru,     e-mail: order@profprokat.ru, info@profprokat.ru</t>
  </si>
  <si>
    <t>20895/АРМКО</t>
  </si>
  <si>
    <t>ШХ15СГ-В</t>
  </si>
  <si>
    <t>ГОСТ 5949-75,ТУ 14-136-267-78,серебрянка</t>
  </si>
  <si>
    <t>ГОСТ 801-78</t>
  </si>
  <si>
    <t>Лист алюминиевый</t>
  </si>
  <si>
    <t>Д16АТ</t>
  </si>
  <si>
    <t>1х650х1350-1420</t>
  </si>
  <si>
    <t>750-820х1650-1740</t>
  </si>
  <si>
    <t>У8А</t>
  </si>
  <si>
    <t>ГОСТ 8560-78, ТУ 14-1-3957-85</t>
  </si>
  <si>
    <t>ШХ15-В</t>
  </si>
  <si>
    <t>сталь 45</t>
  </si>
  <si>
    <t>08Х17Т(ЭИ645,0Х17Т)</t>
  </si>
  <si>
    <t>10х1200х1000</t>
  </si>
  <si>
    <t>АМГ6</t>
  </si>
  <si>
    <t>10х1200х2500</t>
  </si>
  <si>
    <t>3Х2В8Ф</t>
  </si>
  <si>
    <t xml:space="preserve">У10А </t>
  </si>
  <si>
    <t>ГОСТ 1435-99,ГОСТ 2590-2006</t>
  </si>
  <si>
    <t>5ХНМ</t>
  </si>
  <si>
    <t>200х400х1000</t>
  </si>
  <si>
    <t>15х27</t>
  </si>
  <si>
    <t>16х25</t>
  </si>
  <si>
    <t>180х1600-2500</t>
  </si>
  <si>
    <t>40ХН2МА-Ш</t>
  </si>
  <si>
    <t>3х1000х2000</t>
  </si>
  <si>
    <t>ГОСТ 3836-83, ГОСТ 19903-74</t>
  </si>
  <si>
    <t>102х10</t>
  </si>
  <si>
    <t>10Х11Н23Т3МР-ВД(ЭП33-ВД)</t>
  </si>
  <si>
    <t>37Х12Н8Г8МФБ-Ш(ЭИ481-Ш)</t>
  </si>
  <si>
    <t>18Х2Н4ВА</t>
  </si>
  <si>
    <t>95Х18(ЭИ229)</t>
  </si>
  <si>
    <t>Лента электротехническая</t>
  </si>
  <si>
    <t>0,5х535</t>
  </si>
  <si>
    <t>2,04 метра</t>
  </si>
  <si>
    <t>ТУ 14-1-225-72,замена ХН60ВТ,ХН38ВТ(ЭИ703),ХН45Ю(ЭП747),ХН78Т(ЭИ435)</t>
  </si>
  <si>
    <t>8Х4В9Ф2-Ш(ЭИ347-Ш)</t>
  </si>
  <si>
    <t>ТУ 14-1-2244-05, ГОСТ 2590-2006</t>
  </si>
  <si>
    <t>16Х16Н3МАД (ЭП811,ВСН21)</t>
  </si>
  <si>
    <t>ГОСТ 8560-78, ТУ 14-1-3957-85,АТП</t>
  </si>
  <si>
    <t>10860/АРМКО</t>
  </si>
  <si>
    <t>3,9х1000х2000</t>
  </si>
  <si>
    <t>07Х17Н16(ЭП626)</t>
  </si>
  <si>
    <t>ГОСТ 8560-78,1051-73,ТУ 14-1-950-86,В-ТО-h11,Иж</t>
  </si>
  <si>
    <t>2,0х1000х2000</t>
  </si>
  <si>
    <t>ГОСТ 14959-79,Зпр</t>
  </si>
  <si>
    <t>13Х14Н3В2ФР-Ш(ЭИ736-Ш)</t>
  </si>
  <si>
    <t>15Х16Н2АМ-Ш(ЭП479-Ш)</t>
  </si>
  <si>
    <t>Р18</t>
  </si>
  <si>
    <t>ГОСТ 2590-06,ТУ 14-1-3581-83</t>
  </si>
  <si>
    <t>12Х18Н10Т-ВД</t>
  </si>
  <si>
    <t>ГОСТ 8560-78,ГОСТ 5949-75</t>
  </si>
  <si>
    <t>ГОСТ 8560-78,ТУ 14-1-950-86,h11</t>
  </si>
  <si>
    <t>ГОСТ 8733-74,ГОСТ 8734-75</t>
  </si>
  <si>
    <t>7х1</t>
  </si>
  <si>
    <t>7х2</t>
  </si>
  <si>
    <t>130х630х1420</t>
  </si>
  <si>
    <t>38ХА</t>
  </si>
  <si>
    <t>13Х15Н4АМЗ-Ш(ЭП310Ш,ВНС-5)</t>
  </si>
  <si>
    <t>ТУ 14-1-3577-83</t>
  </si>
  <si>
    <t>08Х15Н5Д2Т-Ш(ВНС2,ЭП410У-Ш)</t>
  </si>
  <si>
    <t>36НХТЮ(ЭИ-702)</t>
  </si>
  <si>
    <t>Проволока нержавеющая</t>
  </si>
  <si>
    <t>9ХФ(90ХФ)</t>
  </si>
  <si>
    <t>ГОСТ 4543-71,ГОСТ 2879-88,35ХГСА</t>
  </si>
  <si>
    <t>60+180</t>
  </si>
  <si>
    <t>9ХС</t>
  </si>
  <si>
    <t>ТУ 14-1-950-86,ГОСТ 7417-75</t>
  </si>
  <si>
    <t>6ХВ2С</t>
  </si>
  <si>
    <t>ТУ14-1-2972-80,ГОСТ 14955-77</t>
  </si>
  <si>
    <t>Швеллер нержавеющий</t>
  </si>
  <si>
    <t>Балка нержавеющая</t>
  </si>
  <si>
    <t>10Х11Н23Т3МР(ЭП33)</t>
  </si>
  <si>
    <t>ГОСТ 14118-85</t>
  </si>
  <si>
    <t xml:space="preserve">38Х2Н2МА </t>
  </si>
  <si>
    <t xml:space="preserve">38ХН3МФА </t>
  </si>
  <si>
    <t>54х10</t>
  </si>
  <si>
    <t>70х10</t>
  </si>
  <si>
    <t>г/д,ГОСТ 8732-78</t>
  </si>
  <si>
    <t>х/д,ГОСТ 8734-75</t>
  </si>
  <si>
    <t xml:space="preserve">38Х2МЮА </t>
  </si>
  <si>
    <t>159х25</t>
  </si>
  <si>
    <t xml:space="preserve">30ХГСН2А </t>
  </si>
  <si>
    <t>ГОСТ 7417-75</t>
  </si>
  <si>
    <t>ГОСТ 4543-71,2590-06,нд-2гр-в1, 5,5-6,0</t>
  </si>
  <si>
    <t>245х8</t>
  </si>
  <si>
    <t>ТУ 14-1-950-86,ГОСТ 8560-78,h11,АТП</t>
  </si>
  <si>
    <t>сильхром,Тисп до 850гр,жаростойкий</t>
  </si>
  <si>
    <t xml:space="preserve">25Х1МФ </t>
  </si>
  <si>
    <t>жаропрочный крепеж до 500гр.</t>
  </si>
  <si>
    <t>ГОСТ 20072-74,бд-1-в1-IV,жаропрочная сталь до 570-585гр,обточ,4м</t>
  </si>
  <si>
    <t>теплоустойчива до 500°С</t>
  </si>
  <si>
    <t>38ХМА</t>
  </si>
  <si>
    <t>ГОСТ 4543-71,2590-06,нд-2гр-в1</t>
  </si>
  <si>
    <t>ТУ 14-1-744-73</t>
  </si>
  <si>
    <t xml:space="preserve">38Х2МЮА-Ш </t>
  </si>
  <si>
    <t xml:space="preserve">30ХГСН2А-ВД </t>
  </si>
  <si>
    <t>ГОСТ 2590-2006,ТУ 14-1-561-73</t>
  </si>
  <si>
    <t>12Х17Г9АН4-Ш(ЭИ878-Ш)</t>
  </si>
  <si>
    <t>10864-ВИ(03-ВИ)</t>
  </si>
  <si>
    <t>ТУ 14-1-896-74</t>
  </si>
  <si>
    <t>ТУ 14-1-1660-76,ГОСт 2590-2006,АТП</t>
  </si>
  <si>
    <t>1 бухта,ГОСТ 21427.2-83,ТШ1-А-ТО-П</t>
  </si>
  <si>
    <t>оранж.полоса</t>
  </si>
  <si>
    <t>сталь 35</t>
  </si>
  <si>
    <t>ТУ 14-3-675-78,2,0м</t>
  </si>
  <si>
    <t xml:space="preserve">35ХМ </t>
  </si>
  <si>
    <t>Сталь 10</t>
  </si>
  <si>
    <t>ГОСТ 2590-2006,ТУ 14-1-2252-2007,гр.2, жаропрочный крепеж до 450-500 °С,6м</t>
  </si>
  <si>
    <t>40ХМФА</t>
  </si>
  <si>
    <t>2х1000х2000</t>
  </si>
  <si>
    <t>ТУ 14-1-950-86,ГОСТ 7417-75,h11,3.0-3.5</t>
  </si>
  <si>
    <t>ГОСТ 14955-77,ТУ 14-1-377-72</t>
  </si>
  <si>
    <t>30Х2НВА</t>
  </si>
  <si>
    <t>ТУ 14-1-950-86,ГОСТ 8560-78,h11</t>
  </si>
  <si>
    <t>БД-2ГП-В1-IV</t>
  </si>
  <si>
    <t>ТУ 14-1-2902-80,кованый</t>
  </si>
  <si>
    <t>40Х18Н2М(ЭП378)</t>
  </si>
  <si>
    <t>08Х18Н12Т-ВД</t>
  </si>
  <si>
    <t>без сертификата,отбой</t>
  </si>
  <si>
    <t>ик</t>
  </si>
  <si>
    <t>12Х18Н10Т</t>
  </si>
  <si>
    <t>ГОСТ 8560-78,ГОСТ 5949-75,гр.в,h11,нагарт</t>
  </si>
  <si>
    <t>ГОСТ 14955-77,ТУ 14-1-3957-85,h11,зак,АТП</t>
  </si>
  <si>
    <t>ТУ 14-1-1660-76,ГОСт 2590-2006</t>
  </si>
  <si>
    <t>40Х13</t>
  </si>
  <si>
    <t>ТУ 14-1-744-73,2.84м</t>
  </si>
  <si>
    <t>20Х13</t>
  </si>
  <si>
    <t>Полоса электротехническая</t>
  </si>
  <si>
    <t>08Х18Н10Т</t>
  </si>
  <si>
    <t>11880/АРМКО</t>
  </si>
  <si>
    <t>12Х18Н9Т</t>
  </si>
  <si>
    <t>ГОСТ 5950-2000</t>
  </si>
  <si>
    <t>Р9М4К6С(ЭП722)</t>
  </si>
  <si>
    <t>Р6Ф2К8М5(ЭП658)</t>
  </si>
  <si>
    <t>Р18Ф2К8М(ЭП379)</t>
  </si>
  <si>
    <t>16,5</t>
  </si>
  <si>
    <t>Р6М5К5</t>
  </si>
  <si>
    <t>14</t>
  </si>
  <si>
    <t>ТУ 14-1-950-86,ГОСТ 7417-75,h11,2.5</t>
  </si>
  <si>
    <t>ТУ 14-1-744-73,ГОСТ 2590-06,пгр.а,отж,АТП</t>
  </si>
  <si>
    <t>250х250х290</t>
  </si>
  <si>
    <t>ГОСТ 14118-85, 12.2 min</t>
  </si>
  <si>
    <t>2шт</t>
  </si>
  <si>
    <t>ТУ 14-1-997-74,нагарт,травл</t>
  </si>
  <si>
    <t>Д16Т</t>
  </si>
  <si>
    <t>35х1200х1500</t>
  </si>
  <si>
    <t>ТУ 1-804-473-2009</t>
  </si>
  <si>
    <t>07Х16Н6-Ш(ЭП288-Ш)</t>
  </si>
  <si>
    <t>07Х21Г7АН5(ЭП222)</t>
  </si>
  <si>
    <t>07Х21Г7АН5-Ш(ЭП222-Ш)</t>
  </si>
  <si>
    <t>09Х16Н4Б(ЭП56)</t>
  </si>
  <si>
    <t>09Х16Н4Б-Ш(ЭП56-Ш)</t>
  </si>
  <si>
    <t>10Х11Н20Т2Р(ЭИ696А)</t>
  </si>
  <si>
    <t>10Х11Н20Т3Р(ЭИ696)</t>
  </si>
  <si>
    <t>10Х17Н13М2Т(ЭИ448)</t>
  </si>
  <si>
    <t>12Х1МФ(ЭИ575)</t>
  </si>
  <si>
    <t>12Х25Н16Г7АР-Ш(ЭИ835-Ш)</t>
  </si>
  <si>
    <t>12Х2Н4А-Ш(ЭИ83-Ш)</t>
  </si>
  <si>
    <t>13Х11Н2В2МФ-Ш(ЭИ961-Ш)</t>
  </si>
  <si>
    <t>14Х17Н2(ЭИ268)</t>
  </si>
  <si>
    <t>15Х12Н2МВФАБ-Ш(ЭП517-Ш)</t>
  </si>
  <si>
    <t>15Х18Н12С4ТЮ(ЭИ654)</t>
  </si>
  <si>
    <t>15Х18Н12С4ТЮ-Ш(ЭИ654-Ш)</t>
  </si>
  <si>
    <t>20Х13Н4Г9(ЭИ100)</t>
  </si>
  <si>
    <t>20Х23Н18(ЭИ417)</t>
  </si>
  <si>
    <t>25Х13Н2(ЭИ474)</t>
  </si>
  <si>
    <t>45Х14Н14В2М(ЭИ69)</t>
  </si>
  <si>
    <t>ТУ 14-1-2359-78,ГОСТ 14955-77,АТП</t>
  </si>
  <si>
    <t>ТУ 14-1-2359-78,ГОСТ 14955-77,h9</t>
  </si>
  <si>
    <t>ТУ 14-1-3070-80,ГОСТ 19903-15,1.0х2.23</t>
  </si>
  <si>
    <t>3Х3М3Ф</t>
  </si>
  <si>
    <t>ТУ 14-1-3564-83,Тул</t>
  </si>
  <si>
    <t>ТУ 14-1-2902-80,ков, 670габ.,h=360(340)мм</t>
  </si>
  <si>
    <t>ТУ 14-1-950-86,ГОСТ 8560-78,гр.б,h11,нагарт,АТП</t>
  </si>
  <si>
    <t xml:space="preserve"> -Н,ТУ 14-1-2186-77, 1шт</t>
  </si>
  <si>
    <t xml:space="preserve">07Х16Н4Б-Ш(ЭП56-Ш) </t>
  </si>
  <si>
    <t>18Х2Н4МА</t>
  </si>
  <si>
    <t>ТУ 14-1-1885-85</t>
  </si>
  <si>
    <t>ТУ14-1-377-72; ГОСТ 2590-2006,пгр.б,обт,АТП</t>
  </si>
  <si>
    <t>06Х14Н6Д2МБТ-Ш(ЭП817-Ш)</t>
  </si>
  <si>
    <t>ок.4м</t>
  </si>
  <si>
    <t>ГОСТ 14955-77</t>
  </si>
  <si>
    <t>нк</t>
  </si>
  <si>
    <t>ТУ 14-1-940-74, ГОСТ 2590-06,АТП</t>
  </si>
  <si>
    <t>ГОСТ 2590-2006,ТУ 14-1-377-72,нд,пгр.б,отж</t>
  </si>
  <si>
    <t>200х2000</t>
  </si>
  <si>
    <t>280(250)х1100</t>
  </si>
  <si>
    <t>ТУ 14-1-1062-74</t>
  </si>
  <si>
    <t>ТУ 14-1-3564-83</t>
  </si>
  <si>
    <t>дсс</t>
  </si>
  <si>
    <t>ТУ 14-1-3957-85</t>
  </si>
  <si>
    <t>ТУ 14-1-886-74,ГОСТ 2590-2006</t>
  </si>
  <si>
    <t>ГОСТ 14118-85,АТП, 3.3</t>
  </si>
  <si>
    <t>ТУ 14-1-2765-79</t>
  </si>
  <si>
    <t>злт</t>
  </si>
  <si>
    <t>07Х16Н6(ЭП288)</t>
  </si>
  <si>
    <t>1,2х710х1420</t>
  </si>
  <si>
    <t>0,7х400</t>
  </si>
  <si>
    <t>1,0х710х1420</t>
  </si>
  <si>
    <t xml:space="preserve"> -Н,ТУ 14-1-2186-77</t>
  </si>
  <si>
    <t>ТУ14-1-1161-75,ГОСТ 2590-06,г/о,обт,АТП, 4шт</t>
  </si>
  <si>
    <t>Труба нержавеющая</t>
  </si>
  <si>
    <t>36х4,5</t>
  </si>
  <si>
    <t>42х4,5</t>
  </si>
  <si>
    <t>60х7,0</t>
  </si>
  <si>
    <t>ГОСТ 801-78, БД-ОГ-В1-IV, ср4</t>
  </si>
  <si>
    <t>L=1.23(1.2)м,m=77(75)кг 3см-надрез</t>
  </si>
  <si>
    <t>ТУ 14-1-940-74, ГОСТ 2590-06,РТ-Техприемка(АТП)</t>
  </si>
  <si>
    <t>48х6,0</t>
  </si>
  <si>
    <t>ГОСТ 19277-73</t>
  </si>
  <si>
    <t>12х2,5</t>
  </si>
  <si>
    <t>ТУ 14-3-411-75,АТП</t>
  </si>
  <si>
    <t>ТУ 14-1-1923-76</t>
  </si>
  <si>
    <t>ТУ14-1-1671-76</t>
  </si>
  <si>
    <t>5949-75 14955-77, гр.в н11 отж</t>
  </si>
  <si>
    <t>14-1-1062-74 2590-2006,пгр.б отж обточ</t>
  </si>
  <si>
    <t xml:space="preserve">14-1-1062-74 2590-2006,пгр.б отж </t>
  </si>
  <si>
    <t>ТУ 14-1-950-86,ГОСТ 8560-78,гр.в н11 отж,РТ-Техприемка(АТП)</t>
  </si>
  <si>
    <t>ГОСТ 5949-75,ГОСТ 8560-78,h11,4шт</t>
  </si>
  <si>
    <t>ГОСТ 5949-75,ГОСТ 8560-78,h11,8шт</t>
  </si>
  <si>
    <t>ГОСТ 2879-06,ГОСТ 5949-75</t>
  </si>
  <si>
    <t>h11,ТУ 14-1-1791-76,ГОСТ 7417-75,АТП</t>
  </si>
  <si>
    <t>ТУ 14-3-411-75,АТП,14шт</t>
  </si>
  <si>
    <t>ТУ 14-3-411-75,АТП,23шт</t>
  </si>
  <si>
    <t>40Х</t>
  </si>
  <si>
    <t>120х370х510</t>
  </si>
  <si>
    <t>30Х13</t>
  </si>
  <si>
    <t>1шт</t>
  </si>
  <si>
    <t>12Х21Н5Т(ЭИ811)</t>
  </si>
  <si>
    <t>ДСС</t>
  </si>
  <si>
    <t>Злт</t>
  </si>
  <si>
    <t>ЭлСт</t>
  </si>
  <si>
    <t>ТУ 14-1-915-74</t>
  </si>
  <si>
    <t>Рст</t>
  </si>
  <si>
    <t>Ирк</t>
  </si>
  <si>
    <t>ТУ 14-1-377-72,ГОСТ 2590-06</t>
  </si>
  <si>
    <t>ТУ 14-1-950-86,ГОСТ 7417-75,h11</t>
  </si>
  <si>
    <t>ок.4.0</t>
  </si>
  <si>
    <t>Ттр</t>
  </si>
  <si>
    <t>Серов</t>
  </si>
  <si>
    <t>ТУ14-1-2765-79</t>
  </si>
  <si>
    <t>ЧМТУ 1-1084-71</t>
  </si>
  <si>
    <t>ТУ 14-1-3297-82</t>
  </si>
  <si>
    <t>3шт</t>
  </si>
  <si>
    <t>ГОСТ 5582-75</t>
  </si>
  <si>
    <t>ТУ 3-1027-76,1бухта</t>
  </si>
  <si>
    <t>ТУ14-1-997-74</t>
  </si>
  <si>
    <t>ТУ 14-1-744-73,АТП</t>
  </si>
  <si>
    <t>ТУ 14-1-3957-85,h11</t>
  </si>
  <si>
    <t>ГОСТ 8560-78,ТУ-14-1-3957-85</t>
  </si>
  <si>
    <t>ГОСТ 1051-73,ГОСТ 8560-78,h11</t>
  </si>
  <si>
    <t>МЭ</t>
  </si>
  <si>
    <t>Нтаг</t>
  </si>
  <si>
    <t>ГОСТ 8560-78,ГОСТ 5949-75,1шт=25</t>
  </si>
  <si>
    <t>6-А-3-Тх2000,ГОСТ 14955-77</t>
  </si>
  <si>
    <t>0,39м</t>
  </si>
  <si>
    <t>12Х21Н5Т-ВД(ЭИ811-ВД)</t>
  </si>
  <si>
    <t>ГОСТ 2879-88,ГОСТ 5949-75</t>
  </si>
  <si>
    <t>ГОСТ 4543-71,ГОСТ8560-78,В-Т-h11</t>
  </si>
  <si>
    <t>ТУ 14-1-3791-84,ГОСТ 2590-2006</t>
  </si>
  <si>
    <t>РЗЧМ-Мх2</t>
  </si>
  <si>
    <t>ТУ 14-1-1923-76,1шт</t>
  </si>
  <si>
    <t>ТУ 14-1-950-86,ГОСТ 2590-06,АТП,1.855</t>
  </si>
  <si>
    <t>35ХГСА</t>
  </si>
  <si>
    <t>ТУ 14-1-950-86,ГОСТ 7417-75,РТ-Т(АТП)</t>
  </si>
  <si>
    <t>20880/АРМКО</t>
  </si>
  <si>
    <t>1.0х1.55-2.1; ГОСТ 3836-83,ГОСТ 19904-90</t>
  </si>
  <si>
    <t>14-1-3957-85,7417-75,гр.в н11 отж,АТП</t>
  </si>
  <si>
    <t>ТУ 14-1-3957-85,ГОСТ 7417-75,гр.в,h11,нагарт,АТП</t>
  </si>
  <si>
    <t>ТУ 14-1-1791-76,ГОСТ 14955-77</t>
  </si>
  <si>
    <t>СПб</t>
  </si>
  <si>
    <t>ТУ 14-1-950-86,ГОСТ 8560-78,h11,отж</t>
  </si>
  <si>
    <t>ТУ 14-1-377-72,ГОСТ 1133-71</t>
  </si>
  <si>
    <t xml:space="preserve">ТУ14-1-1671-76 </t>
  </si>
  <si>
    <t>ТУ 14-1-948-74</t>
  </si>
  <si>
    <t>ТУ 14-1-3297-82,АТП</t>
  </si>
  <si>
    <t>ТУ 14-1-561-73</t>
  </si>
  <si>
    <t>ТУ 14-1-1671-76</t>
  </si>
  <si>
    <t>ТУ 14-1-3297-82,ГОСТ 2590-2006</t>
  </si>
  <si>
    <t xml:space="preserve">ТУ 14-1-1141-74 </t>
  </si>
  <si>
    <t>20Х2Н4А</t>
  </si>
  <si>
    <t>ТУ14-1-2407-78</t>
  </si>
  <si>
    <t>ТУ 14-1-2394-78</t>
  </si>
  <si>
    <t>ТУ 14-1-2966-80</t>
  </si>
  <si>
    <t>ТУ 14-1-2359-78,ГОСТ 14955-77,РТ-Техприемка(АТП)</t>
  </si>
  <si>
    <t>ТУ 14-1-3957-85,ГОСТ 8560-78,h11,нгр,гр.в</t>
  </si>
  <si>
    <t>ГОСТ 20072-74</t>
  </si>
  <si>
    <t>ТУ 14-1-915-74,ГОСТ 1133-71</t>
  </si>
  <si>
    <t>ТУ 14-1-915-74,ГОСТ 1133-71,АТП</t>
  </si>
  <si>
    <t>ТУ 14-1-1498-75</t>
  </si>
  <si>
    <t>ТУ 14-1-1660-75,ГОСТ 2590-2006,с/о,обт</t>
  </si>
  <si>
    <t>20Х3МВФ-Ш(ЭИ415-Ш)</t>
  </si>
  <si>
    <t>ТУ 14-1-940-74, ГОСТ 1133-71</t>
  </si>
  <si>
    <t>ТУ 14-1-940-74</t>
  </si>
  <si>
    <t>ГОСТ 14118-85,АТП</t>
  </si>
  <si>
    <t>ТУ 14-1-3669-83</t>
  </si>
  <si>
    <t>14-1-940-74 2590-2006,отж,В1,РТ-Техприемка(АТП)</t>
  </si>
  <si>
    <t>14-1-1660-76 2590-2006 отж,В1,РТ-Техприемка(АТП)</t>
  </si>
  <si>
    <t>14-1-744-73 2590-2006 пгр.а,отж,В1,РТ-Техприемка(АТП)</t>
  </si>
  <si>
    <t>ТУ 14-1-950-86,ГОСТ 1133-71,АТП</t>
  </si>
  <si>
    <t>2,4-3,1</t>
  </si>
  <si>
    <t>80х360х370</t>
  </si>
  <si>
    <t>МРНН</t>
  </si>
  <si>
    <t>ТУ 14-132-208-01,ГОСТ 19903-15</t>
  </si>
  <si>
    <t>ТУ14-1-312-72; ГОСТ 2590-2006,бо-обт,РТ-Техприемка(АТП)</t>
  </si>
  <si>
    <t>4Х5МФС</t>
  </si>
  <si>
    <t>ГОСТ 14955-77,ТУ 14-1-2972-80</t>
  </si>
  <si>
    <t>ТУ 14-1-952-74</t>
  </si>
  <si>
    <t xml:space="preserve">ТУ 14-1-314-72, ГОСТ 2590-2006 </t>
  </si>
  <si>
    <t>ТУ14-1-2407-78,ГОСТ 2590-06</t>
  </si>
  <si>
    <t>ТУ 14-1-1141-74</t>
  </si>
  <si>
    <t>ТУ 14-1-3957-85,ГОСТ 14955-77,h11,АТП</t>
  </si>
  <si>
    <t>ТУ14-1-377-72,ГОСТ 2590-2006,пгр.а,то,обт,АТП</t>
  </si>
  <si>
    <t>14-1-1660-76 2590-2006,отж,обточ,УЗК,РТ-Техприемка(АТП)</t>
  </si>
  <si>
    <t>11895/АРМКО</t>
  </si>
  <si>
    <t>11036-75 2590-2006,пгр.б,обточ,в1,РТ-Т(АТП)</t>
  </si>
  <si>
    <t>ТУ 14-1-744-73,ГОСТ 2590-06,пгр.а+б,отж,РТ-Т(АТП)</t>
  </si>
  <si>
    <t>ТУ 14-1-744-73,ГОСТ 2590-06,пгр.а,отж,РТ-Т(АТП)</t>
  </si>
  <si>
    <t>14-1-3957-85 7417-75,гр.в н11 отж,РТ-Т(АТП)</t>
  </si>
  <si>
    <t>В-h9-Т-2000 ГОСТ 5949-75,ГОСТ 14955-77</t>
  </si>
  <si>
    <t>525кг=11шт,1шт=48кг=1.2м(прим.)</t>
  </si>
  <si>
    <t>08Х22Н6Т(ЭП53)</t>
  </si>
  <si>
    <t>60С2А</t>
  </si>
  <si>
    <t>ТУ 14-1-3217-81</t>
  </si>
  <si>
    <t>ТУ 14-1-208-72</t>
  </si>
  <si>
    <t>38ХС</t>
  </si>
  <si>
    <t>18Х2Н4ВА-Ш</t>
  </si>
  <si>
    <t>ков</t>
  </si>
  <si>
    <t>Ик х 2</t>
  </si>
  <si>
    <t>ТУ 14-1-950-86+ГОСТ 4543-71,ГОСТ 8560-78,h11</t>
  </si>
  <si>
    <t>ГОСТ 5632-72,ТУ 14-136-335-2004,отж</t>
  </si>
  <si>
    <t>14-1-1660-76 2590-2006 В1</t>
  </si>
  <si>
    <t>1м</t>
  </si>
  <si>
    <t>ГОСТ 8560-78,ГОСТ 5949-75,В-Т-h11</t>
  </si>
  <si>
    <t>3-5м,14шт</t>
  </si>
  <si>
    <t>Злт+154юпс+Злт</t>
  </si>
  <si>
    <t>ГОСТ 14955-77,ТУ 14-1-3957-85,h12,гр.Г,наг,АТП(1998г)</t>
  </si>
  <si>
    <t>ГОСТ 5949-75,ГОСТ2590-88,АТП(1997г)</t>
  </si>
  <si>
    <t>ТУ 14-1-1660-76,ГОСТ 2590-2006</t>
  </si>
  <si>
    <t>ГОСТ 5949-75,2590-2006,пгр.б,отж</t>
  </si>
  <si>
    <t>ГОСТ 5949-75,2590-2006</t>
  </si>
  <si>
    <t>ГОСТ 5949-75,2590-06,пгр.б,В1,отж</t>
  </si>
  <si>
    <t>ГОСТ 2590-2006,5949-75</t>
  </si>
  <si>
    <t>ГОСТ 5949-75,7417-75,гр.в,h11,нагарт,предв.обт.</t>
  </si>
  <si>
    <t>ГОСТ 5949-75,2590-2006,пгр.а</t>
  </si>
  <si>
    <t>ГОСТ 5949-75,2590-2006,б/о,обточ, 2шт</t>
  </si>
  <si>
    <t>ГОСТ 5949-75,1133-71</t>
  </si>
  <si>
    <t>ГОСТ 11036-75,2590-2006</t>
  </si>
  <si>
    <t>ГОСТ 11036-75,2590-2006,АТП,2шт</t>
  </si>
  <si>
    <t>ГОСТ 1414-75,7417-75</t>
  </si>
  <si>
    <t>ГОСТ 1051-73,7417-75</t>
  </si>
  <si>
    <t>ГОСТ 4543-71,2590-2006</t>
  </si>
  <si>
    <t>ГОСТ 4543-71,2590-2006,2-В1-IV (ср.дл.4.8)</t>
  </si>
  <si>
    <t>ГОСТ 4543-71,2590-2006,В1,гр.2,отж</t>
  </si>
  <si>
    <t>ГОСТ 14959-79,2590-2006,3Б-В1-IV,обт,б/о</t>
  </si>
  <si>
    <t>ГОСТ 4543-71,2590-06, 1.62м</t>
  </si>
  <si>
    <t>ГОСТ 19265-73,14955-77</t>
  </si>
  <si>
    <t>ГОСТ 1435-99,14955-77</t>
  </si>
  <si>
    <t>ГОСТ 1435-99,14955-77,мм, 2,5-2,9</t>
  </si>
  <si>
    <t>В-h9-Т-нд ГОСТ 19265-73,14955-77</t>
  </si>
  <si>
    <t>ГОСТ 5950-2000,2590-2006</t>
  </si>
  <si>
    <t>ГОСТ 5950-2000,2590-2006, АТП</t>
  </si>
  <si>
    <t>ГОСТ 5950-2000,2590-2006,отж-4гп-В1</t>
  </si>
  <si>
    <t>ГОСТ 5950-2000,2590-2006,отж,обточ,3гп,РТ-Т(АТП)</t>
  </si>
  <si>
    <t>ГОСТ 1435-99,2590-2006</t>
  </si>
  <si>
    <t>ГОСТ 19265-73,2590-2006</t>
  </si>
  <si>
    <t>ГОСТ 19265-73,2590-2006,то,обточ</t>
  </si>
  <si>
    <t>ГОСТ 19265-73,2590-2006,то,пгр.б</t>
  </si>
  <si>
    <t>ГОСТ 19265-73,2590-2006,то,обточ,2шт</t>
  </si>
  <si>
    <t>ГОСТ 5950-2000,1133-71</t>
  </si>
  <si>
    <t>ГОСТ 5950-00,2590-06,В1,то,2гп,пгр.а,обточ</t>
  </si>
  <si>
    <t>ГОСТ 5950-00,2590-06,ТО-2ГП-В1-IV</t>
  </si>
  <si>
    <t>ТУ 14-1-721-73,ГОСТ 1133-71,то</t>
  </si>
  <si>
    <t>ТУ 14-1-721-73,ГОСТ 2590-06,в1,то</t>
  </si>
  <si>
    <t>ТУ 14-1-721-73ГОСТ 14955-77</t>
  </si>
  <si>
    <t>ТУ 14-1-721-73,ГОСТ 7417-75</t>
  </si>
  <si>
    <t>ТУ 14-1-721-73,ГОСТ 1133-71,то,узк</t>
  </si>
  <si>
    <t>14-1-1660-76 2590-2006 отж,обт,В1,РТ-Техприемка(АТП)</t>
  </si>
  <si>
    <t>ТУ 14-1-2139-77,ГОСТ 1133-71,х/о,т/о</t>
  </si>
  <si>
    <t xml:space="preserve">ГОСТ 5950-00,ГОСТ 2590-06,отж,2гп </t>
  </si>
  <si>
    <t>25Х17Н2(ЭП407)</t>
  </si>
  <si>
    <t>ГОСТ 8560-78,1051-73,ТУ 14-1-3564-83,В-Т-Н11</t>
  </si>
  <si>
    <t>ГОСТ 8560-78, ТУ 14-1-3957-85,гр.в,h11.в/отп</t>
  </si>
  <si>
    <t>ТУ 14-1-759-92</t>
  </si>
  <si>
    <t>ГОСТ 8560-78,ГОСТ 5949-75,гр.в,h11</t>
  </si>
  <si>
    <t xml:space="preserve">ТУ 14-1-950-86,ГОСТ 8560-78,гр.б,h11,нагарт,АТП </t>
  </si>
  <si>
    <t>ГОСТ 5949-75,ТУ 14-1-1530-75,мкк,узк,шлиф,для АЭС</t>
  </si>
  <si>
    <t>ТУ 14-1-377-72,ГОСТ 2590-06,АТП,пгр.б,обточ</t>
  </si>
  <si>
    <t>ТУ 14-1-3564-83,ГОСТ 2590-06,пгр.б,В1,отж+в/отп</t>
  </si>
  <si>
    <t>ТУ 14-1-377-72,ГОСТ 2590-06,АТП</t>
  </si>
  <si>
    <t xml:space="preserve"> без сертиф</t>
  </si>
  <si>
    <t>без сертиф</t>
  </si>
  <si>
    <t>ТУ 14-1-205-72 отж-обт</t>
  </si>
  <si>
    <t xml:space="preserve">ТУ 14-1-952-74 </t>
  </si>
  <si>
    <t>ГОСТ 5949-75,1133-71(АТП)</t>
  </si>
  <si>
    <t>ГОСТ 1133-71</t>
  </si>
  <si>
    <t>ГОСТ 5949-75,2590-06,пгр.а,обточ</t>
  </si>
  <si>
    <t>ТУ 14-1-2902-80,ков</t>
  </si>
  <si>
    <t xml:space="preserve">ГОСТ 11036-75,7417-75  </t>
  </si>
  <si>
    <t>14-1-1660-76,ГОСТ 14955-77,гр.в,то,h10</t>
  </si>
  <si>
    <t>до 5.72м</t>
  </si>
  <si>
    <t>пгр.б,в1</t>
  </si>
  <si>
    <t>ГОСТ 2590-2006,ТУ 14-1-721-73,в1,то</t>
  </si>
  <si>
    <t>Круг чугунный</t>
  </si>
  <si>
    <t>ВЧ-50</t>
  </si>
  <si>
    <t>догов.</t>
  </si>
  <si>
    <t>L=0.135-0.185мм</t>
  </si>
  <si>
    <t>ГОСТ 5949-75,2590-2006,пгр.б,в1,стойк.к МКК(АМУ)</t>
  </si>
  <si>
    <t>ГОСТ 5950-2000,1133-71, 2.12 (габ.145)</t>
  </si>
  <si>
    <t>ТУ 14-3-411-75,АТП,22шт</t>
  </si>
  <si>
    <t>ГОСТ 5949-75,2590-2006,пгр.а,отж,обточ.,В1</t>
  </si>
  <si>
    <t>ТУ 14-1-721-73,ГОСТ 1133-71,то,узк,допуск +5мм</t>
  </si>
  <si>
    <t>ТУ 14-1-377-72,ГОСТ 2590-06,пгр.б,закалка,в1,РТ-Т(АТП)</t>
  </si>
  <si>
    <t>ТУ 14-1-377-72,ГОСТ 2590-06,пгр.б,закалка,обт,в1,АТП</t>
  </si>
  <si>
    <t>ГОСТ 5950-2000,2590-2006,отж,2гп,в1</t>
  </si>
  <si>
    <t>ГОСТ 11036-75,2590-2006,пгр.б,обточ,в1</t>
  </si>
  <si>
    <t>Шестигранник конструкционный</t>
  </si>
  <si>
    <t>ГОСТ 4543-71,ГОСТ8560-78,в,т,h11</t>
  </si>
  <si>
    <t>ГОСТ 4543-71,ГОСТ8560-78,в,т,h12</t>
  </si>
  <si>
    <t>ГОСТ 8560-78,5949-75,в,т,h11</t>
  </si>
  <si>
    <t>ГОСТ 8560-78,5949-75,в,т,h12</t>
  </si>
  <si>
    <t>68х6</t>
  </si>
  <si>
    <t>1,67+1,80+1,85</t>
  </si>
  <si>
    <t>ГОСТ 7417-75,В-h11</t>
  </si>
  <si>
    <t>ГОСТ 2590-88,В-II-НД</t>
  </si>
  <si>
    <t>В1-II-НД</t>
  </si>
  <si>
    <t>ТУ 14-1-312-72,ГОСТ 2590-06,гр.В,бо,АТП</t>
  </si>
  <si>
    <t>ГОСТ 8560-78,ТУ 14-1-1791-76,h12,наг,АТП</t>
  </si>
  <si>
    <t>ГОСТ 8560-78,ТУ 14-1-1791-76,h11,то,АТП</t>
  </si>
  <si>
    <t>ГОСТ 8560-78, ТУ 14-1-3957-85,гр.в,h11,то,АТП</t>
  </si>
  <si>
    <t>ТУ14-1-2407-78,ГОСТ 2590-06,отж</t>
  </si>
  <si>
    <t>ТУ 14-1-2090-77,ГОСТ 2590-06,го,то,обт,АТП</t>
  </si>
  <si>
    <t>мс</t>
  </si>
  <si>
    <t>ТУ 14-1-950-86,ГОСТ 2590-06,АТП</t>
  </si>
  <si>
    <t>ГОСТ 5949-75,7417-05,1051-73,в,т,h11</t>
  </si>
  <si>
    <t>160х80</t>
  </si>
  <si>
    <t>16П(160х80х8), 5м</t>
  </si>
  <si>
    <t>AISI304(08Х18Н10)</t>
  </si>
  <si>
    <t>14Б2(140х73х4,7х6,9), 3.5м</t>
  </si>
  <si>
    <t>140х73</t>
  </si>
  <si>
    <t>16Б2(160х82х5,0х7,4), 4.0м</t>
  </si>
  <si>
    <t>160х82</t>
  </si>
  <si>
    <t>ГОСТ 4543-71,2590-06,гр2-В1-IV,НМК</t>
  </si>
  <si>
    <t>1шт=130кг</t>
  </si>
  <si>
    <t>ГОСТ 801-78,в1,то,ог,IV</t>
  </si>
  <si>
    <t>25Х17Н2Б-Ш(ЭП407-Ш)</t>
  </si>
  <si>
    <t xml:space="preserve">ШХ20СГ-В </t>
  </si>
  <si>
    <t>08Х17Н13М2Т</t>
  </si>
  <si>
    <t>07Х12НМБФ-Ш(ЭП609-Ш)</t>
  </si>
  <si>
    <t>ТУ14-1-2407-78,ГОСТ 1133-71,то,обт.,2.6м</t>
  </si>
  <si>
    <t>до 2.7</t>
  </si>
  <si>
    <t>2.8м</t>
  </si>
  <si>
    <t>2,12м</t>
  </si>
  <si>
    <t>ТУ 14-1-5243-93</t>
  </si>
  <si>
    <t>109548, г. Москва, Шоссейная ул,дом 1,к.1</t>
  </si>
  <si>
    <t>ТУ 14-1-3957-85,ГОСТ 14955-77,гр.г,h11,т/о,АТП</t>
  </si>
  <si>
    <t>3,0-3,5(1й стелл.)</t>
  </si>
  <si>
    <t>ГОСТ 5950-2000,1133-71,отж,2гп</t>
  </si>
  <si>
    <t>14-1-950-86 2590-2006,в1,отж гр.3,РТ-Т(АТП)</t>
  </si>
  <si>
    <t>ТУ 14-1-950-86,ГОСТ 2590-06</t>
  </si>
  <si>
    <t>МСКП</t>
  </si>
  <si>
    <t>ТУ 14-1-4608-89,ГОСТ 2590-06,АТП,обточ.</t>
  </si>
  <si>
    <t>ТУ 14-1-931-74,ГОСТ 2590-06,в1,то,пгр.а</t>
  </si>
  <si>
    <t>ТУ 14-1-931-74,ГОСТ 2590-06,в1,то,пгр.а,обточ,узк</t>
  </si>
  <si>
    <t>ТУ 14-1-940-74,ГОСТ 2590-06,в1,то,обт,хмо</t>
  </si>
  <si>
    <t>ТУ 14-1-950-86,ГОСТ 2590-06,в1,то,гр3,обт</t>
  </si>
  <si>
    <t>ТУ 14-1-378-72,h12</t>
  </si>
  <si>
    <t>ТУ14-1-4608-89,ГОСТ 2590-2006,в1,бо,пгр.а,обт,АТП</t>
  </si>
  <si>
    <t>ГОСТ 5949-75,ГОСТ 2590-06,в1,зкл,пгр.а,обт</t>
  </si>
  <si>
    <t>ГОСТ 7350-77,ГОСТ 19903-15,б,м4б,пн,о</t>
  </si>
  <si>
    <t xml:space="preserve">03Х11Н10М2ТУ-ВД(ЭП678У-ВД,ВНС-17) </t>
  </si>
  <si>
    <t>1500х1650</t>
  </si>
  <si>
    <t>1900х2000</t>
  </si>
  <si>
    <t>1500х700</t>
  </si>
  <si>
    <t>1500х2540</t>
  </si>
  <si>
    <t>1500х1340</t>
  </si>
  <si>
    <t>1500х2500</t>
  </si>
  <si>
    <t>2000х2000</t>
  </si>
  <si>
    <t>ТУ 14-105-712-03 1500х2000</t>
  </si>
  <si>
    <t>1500х940</t>
  </si>
  <si>
    <t>1000х1790-2000</t>
  </si>
  <si>
    <t>1200х2510</t>
  </si>
  <si>
    <t>ТУ14-1-4608-89,ГОСТ 2590-2006,пгр.а,бо,обт,1гр,АТП</t>
  </si>
  <si>
    <t>ТУ14-1-4608-89; ГОСТ 2590-2006,пгр.а,бо,обт,в1,РТ -Т(АТП)</t>
  </si>
  <si>
    <t>ТУ ДСС 001-11-2,в1,б/о</t>
  </si>
  <si>
    <t>14-1-1660-76,2590-2006,в1,обточ.</t>
  </si>
  <si>
    <t>Поковка</t>
  </si>
  <si>
    <t>500х500</t>
  </si>
  <si>
    <t>ГОСТ 5950-2000,ТУ 14-1-1530-75,хо,то,HB&lt;269,откл.+/-15</t>
  </si>
  <si>
    <t>AISI 310s  1500х2000</t>
  </si>
  <si>
    <t>ГОСТ 14959-79,Зпр 1х2м +1шт 720х1600</t>
  </si>
  <si>
    <t>ТУ 14-1-377-72,ГОСТ 2590-2006,пгр.а,б/о,обт,в1</t>
  </si>
  <si>
    <t>ТУ14-1-312-72,ГОСТ 2590-2006,бо-обт-в1</t>
  </si>
  <si>
    <t>оплачен</t>
  </si>
  <si>
    <t>1500х2430мм</t>
  </si>
  <si>
    <t>14-1-1062-74 2590-2006,пгр.б,то</t>
  </si>
  <si>
    <t>31.04.2018</t>
  </si>
  <si>
    <t>ТУ 14-1-3957-85,ГОСТ 7417,гр.в,h11,АТП</t>
  </si>
  <si>
    <t>ГОСТ 19265-73,2590-2006,х/о,в1,то</t>
  </si>
  <si>
    <t>ГОСТ 19265-73,2590-2006,х/о,в1,т/о</t>
  </si>
  <si>
    <t>ГОСТ 5949-75,2590-06</t>
  </si>
  <si>
    <t>ГОСТ 11036-75,2590-2006,в1,пгр.б,обточ</t>
  </si>
  <si>
    <t>ТУ 14-1-3297-82,ГОСТ 2590-2006,в1,то,обт,г/о</t>
  </si>
  <si>
    <t>Х12М</t>
  </si>
  <si>
    <t>ГОСТ 11036-75,2590-2006,в1,пгр.б</t>
  </si>
  <si>
    <t>ГОСТ 5950-2000,ГОСТ 2590-06,в1,то,4гп,АТП</t>
  </si>
  <si>
    <t>1500х2570</t>
  </si>
  <si>
    <t>2,4-2,8м +43кг Златоуст</t>
  </si>
  <si>
    <t>ГОСТ 2590-2006,ТУ 14-1-377-72</t>
  </si>
  <si>
    <t>ТУ 14-1-4608-89,ГОСТ 2590-06,пгр.а,б/о,1гр,РТ-Т(АТП)</t>
  </si>
  <si>
    <t>580х700</t>
  </si>
  <si>
    <t>100х235х275</t>
  </si>
  <si>
    <t>57х4</t>
  </si>
  <si>
    <t>1500х2380</t>
  </si>
  <si>
    <t>-</t>
  </si>
  <si>
    <t>У10А</t>
  </si>
  <si>
    <t>2,36+2,36+1,57</t>
  </si>
  <si>
    <t>ГОСТ 7293-85 1.5м</t>
  </si>
  <si>
    <t>ТУ 14-1-940-74, ГОСТ 2590-06,в1,то,обточ.</t>
  </si>
  <si>
    <t>ТУ 14-1-744-73,ГОСТ 2590-06,в1,то,обточ.</t>
  </si>
  <si>
    <t>4.24-4.45 6штук</t>
  </si>
  <si>
    <t>ТУ 14-1-1791-76,ГОСТ 14955-77,ТП ЗМЗ 439-09,то,h11,РТ-Т</t>
  </si>
  <si>
    <t>ТУ 14-1-3297-82,ГОСТ 2590-06,в1,то,обточ,АТП</t>
  </si>
  <si>
    <t>ГОСТ 8560-78,ТУ-14-1-3957-85,1 бухта</t>
  </si>
  <si>
    <t>06ХН28МДТ(ЭИ-943)</t>
  </si>
  <si>
    <t>1150х1700</t>
  </si>
  <si>
    <t>1500х(2000+2280)</t>
  </si>
  <si>
    <t>ТУ 14-1-721-73,ГОСТ 14955-77,h11,узк</t>
  </si>
  <si>
    <t>ТУ 14-1-721-73,ГОСТ 1133-71,в1,то</t>
  </si>
  <si>
    <t>ТиНБ</t>
  </si>
  <si>
    <t>Китайский</t>
  </si>
  <si>
    <t>690х1220 + 940х1520</t>
  </si>
  <si>
    <t>08Х17Н5М3(ЭИ925)</t>
  </si>
  <si>
    <t>ТУ14-1-1831-76,ГОСТ 2590-06,пгр.а,б/о,обт</t>
  </si>
  <si>
    <t>ТУ14-1-3297-82,ГОСТ 2590-2006,пгр.а,то,обт,АТП</t>
  </si>
  <si>
    <t>ГОСТ 4543-71,ГОСТ 2590-2006,гр1,то,в1,обточ,АТП</t>
  </si>
  <si>
    <t>ТУ 14-1-744-73,ГОСТ 2590-06</t>
  </si>
  <si>
    <t>ТУ14-1-312-72</t>
  </si>
  <si>
    <t>10х100</t>
  </si>
  <si>
    <t>20х100 2шт + 20х610</t>
  </si>
  <si>
    <t>750х1520</t>
  </si>
  <si>
    <t>710х910</t>
  </si>
  <si>
    <t>ДСС+Ик</t>
  </si>
  <si>
    <t>4,73 +920кг=7шт(ик)</t>
  </si>
  <si>
    <t>0.5-1.5=23кг+83.7</t>
  </si>
  <si>
    <t>ТУ14-1-312-72, L=10см</t>
  </si>
  <si>
    <t>ТУ 14-1-3957-85,ГОСТ 7417,гр.в,выс/отп,h11,РТ-Т(АТП)</t>
  </si>
  <si>
    <t>1х2м,ГОСТ 5582-75,19903-2015,б,м4б,пн,о,то</t>
  </si>
  <si>
    <t>1х2м,ГОСТ 5582-75,ГОСТ 19903-15,то,б,м4б,пн,о</t>
  </si>
  <si>
    <t>ГОСТ 5949-75,ГОСТ 2590-06,пгр.б,в1,закалка</t>
  </si>
  <si>
    <t>ТУ 14-1-1141-74,ГОСТ 2590-06,пгр.б,в1,обточ</t>
  </si>
  <si>
    <t>1200000,июнь</t>
  </si>
  <si>
    <t>810мм</t>
  </si>
  <si>
    <t>30ХГСН2А-ВД</t>
  </si>
  <si>
    <t>1.33(1,30)м</t>
  </si>
  <si>
    <t>630000,июнь</t>
  </si>
  <si>
    <t>июнь</t>
  </si>
  <si>
    <t>670000,июнь</t>
  </si>
  <si>
    <t>670000,июль</t>
  </si>
  <si>
    <t>650000,июль</t>
  </si>
  <si>
    <t>420000,июнь</t>
  </si>
  <si>
    <t>525000,июнь</t>
  </si>
  <si>
    <t>820000,июнь</t>
  </si>
  <si>
    <t>1.5х1.68,ГОСТ 7350-77,ГОСТ 19903-74</t>
  </si>
  <si>
    <t>в резерве, ТУ 14-1-3297-82; ГОСТ 2590-2006</t>
  </si>
  <si>
    <t>ТУ 14-1-3957-85,ГОСТ 7417-75,гр.в,h11,закалка</t>
  </si>
  <si>
    <t>В РЕЗЕРВЕ ,ТУ14-1-3564-83</t>
  </si>
  <si>
    <t>ТУ14-1-205-72,ГОСТ 2590-2006,в1,то,обточ,АТП</t>
  </si>
  <si>
    <t>ТУ 14-1-312-72,ГОСТ 2590-06,гр.в,бо,АТП</t>
  </si>
  <si>
    <t>в резерве, ГОСТ 11036-75,2590-2006,в1,пгр.б,обточ</t>
  </si>
  <si>
    <t>в резерве, 14-1-1660-76 2590-2006,В1,обточ</t>
  </si>
  <si>
    <t>в резерве, 14-1-1660-76,2590-2006,в1,обточ.</t>
  </si>
  <si>
    <t>в резерве, ТУ 14-1-2902-80,ков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</si>
</sst>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#,##0.000"/>
    <numFmt numFmtId="180" formatCode="[$-FC19]d\ mmmm\ yyyy\ &quot;г.&quot;"/>
    <numFmt numFmtId="181" formatCode="mmm/yyyy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4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u val="single"/>
      <sz val="12"/>
      <color indexed="12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0" fontId="2" fillId="0" borderId="1" xfId="16" applyFill="1" applyBorder="1" applyAlignment="1">
      <alignment horizontal="left"/>
    </xf>
    <xf numFmtId="0" fontId="2" fillId="0" borderId="1" xfId="16" applyFont="1" applyFill="1" applyBorder="1" applyAlignment="1">
      <alignment horizontal="left"/>
    </xf>
    <xf numFmtId="0" fontId="2" fillId="0" borderId="1" xfId="16" applyBorder="1" applyAlignment="1">
      <alignment/>
    </xf>
    <xf numFmtId="0" fontId="2" fillId="0" borderId="1" xfId="16" applyFont="1" applyBorder="1" applyAlignment="1">
      <alignment/>
    </xf>
    <xf numFmtId="0" fontId="2" fillId="0" borderId="1" xfId="16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0" fontId="2" fillId="0" borderId="1" xfId="16" applyBorder="1" applyAlignment="1">
      <alignment horizontal="left"/>
    </xf>
    <xf numFmtId="0" fontId="2" fillId="0" borderId="1" xfId="16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" xfId="16" applyFill="1" applyBorder="1" applyAlignment="1">
      <alignment wrapText="1"/>
    </xf>
    <xf numFmtId="178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4" fontId="1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4" fillId="0" borderId="1" xfId="0" applyFont="1" applyBorder="1" applyAlignment="1">
      <alignment/>
    </xf>
    <xf numFmtId="14" fontId="14" fillId="0" borderId="1" xfId="0" applyNumberFormat="1" applyFont="1" applyBorder="1" applyAlignment="1">
      <alignment/>
    </xf>
    <xf numFmtId="0" fontId="14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17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16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16" applyFont="1" applyFill="1" applyBorder="1" applyAlignment="1">
      <alignment/>
    </xf>
    <xf numFmtId="0" fontId="1" fillId="3" borderId="1" xfId="0" applyFont="1" applyFill="1" applyBorder="1" applyAlignment="1">
      <alignment/>
    </xf>
    <xf numFmtId="14" fontId="14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2" fontId="4" fillId="3" borderId="1" xfId="0" applyNumberFormat="1" applyFont="1" applyFill="1" applyBorder="1" applyAlignment="1">
      <alignment horizontal="center"/>
    </xf>
    <xf numFmtId="0" fontId="2" fillId="0" borderId="0" xfId="16" applyFont="1" applyAlignment="1">
      <alignment/>
    </xf>
    <xf numFmtId="172" fontId="1" fillId="0" borderId="0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4" fontId="1" fillId="0" borderId="1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172" fontId="4" fillId="3" borderId="1" xfId="0" applyNumberFormat="1" applyFont="1" applyFill="1" applyBorder="1" applyAlignment="1">
      <alignment horizontal="center"/>
    </xf>
    <xf numFmtId="0" fontId="2" fillId="3" borderId="1" xfId="16" applyFill="1" applyBorder="1" applyAlignment="1">
      <alignment/>
    </xf>
    <xf numFmtId="177" fontId="4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14" fontId="14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16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2" fillId="0" borderId="0" xfId="16" applyFont="1" applyFill="1" applyAlignment="1">
      <alignment horizontal="left"/>
    </xf>
    <xf numFmtId="0" fontId="2" fillId="0" borderId="0" xfId="16" applyFill="1" applyAlignment="1">
      <alignment wrapText="1"/>
    </xf>
    <xf numFmtId="0" fontId="1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4" fillId="5" borderId="1" xfId="0" applyFont="1" applyFill="1" applyBorder="1" applyAlignment="1">
      <alignment horizontal="center"/>
    </xf>
    <xf numFmtId="0" fontId="2" fillId="5" borderId="1" xfId="16" applyFont="1" applyFill="1" applyBorder="1" applyAlignment="1">
      <alignment horizontal="left"/>
    </xf>
    <xf numFmtId="1" fontId="4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17" fillId="0" borderId="0" xfId="0" applyNumberFormat="1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16" applyFont="1" applyBorder="1" applyAlignment="1">
      <alignment horizontal="center" vertical="center" wrapText="1"/>
    </xf>
  </cellXfs>
  <cellStyles count="10">
    <cellStyle name="Normal" xfId="0"/>
    <cellStyle name="Excel Built-in Normal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0</xdr:col>
      <xdr:colOff>1590675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409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0</xdr:col>
      <xdr:colOff>2409825</xdr:colOff>
      <xdr:row>8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10</xdr:col>
      <xdr:colOff>0</xdr:colOff>
      <xdr:row>8</xdr:row>
      <xdr:rowOff>76200</xdr:rowOff>
    </xdr:to>
    <xdr:sp>
      <xdr:nvSpPr>
        <xdr:cNvPr id="3" name="Line 2"/>
        <xdr:cNvSpPr>
          <a:spLocks/>
        </xdr:cNvSpPr>
      </xdr:nvSpPr>
      <xdr:spPr>
        <a:xfrm>
          <a:off x="0" y="1533525"/>
          <a:ext cx="12515850" cy="0"/>
        </a:xfrm>
        <a:prstGeom prst="line">
          <a:avLst/>
        </a:prstGeom>
        <a:solidFill>
          <a:srgbClr val="FFFFFF"/>
        </a:solidFill>
        <a:ln w="635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10</xdr:col>
      <xdr:colOff>0</xdr:colOff>
      <xdr:row>0</xdr:row>
      <xdr:rowOff>38100</xdr:rowOff>
    </xdr:to>
    <xdr:sp>
      <xdr:nvSpPr>
        <xdr:cNvPr id="4" name="Line 3"/>
        <xdr:cNvSpPr>
          <a:spLocks/>
        </xdr:cNvSpPr>
      </xdr:nvSpPr>
      <xdr:spPr>
        <a:xfrm flipV="1">
          <a:off x="0" y="28575"/>
          <a:ext cx="12515850" cy="9525"/>
        </a:xfrm>
        <a:prstGeom prst="line">
          <a:avLst/>
        </a:prstGeom>
        <a:solidFill>
          <a:srgbClr val="FFFFFF"/>
        </a:solidFill>
        <a:ln w="635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prokat.ru/content/view/731/76/" TargetMode="External" /><Relationship Id="rId2" Type="http://schemas.openxmlformats.org/officeDocument/2006/relationships/hyperlink" Target="http://www.profprokat.ru/content/view/466/72/" TargetMode="External" /><Relationship Id="rId3" Type="http://schemas.openxmlformats.org/officeDocument/2006/relationships/hyperlink" Target="http://www.profprokat.ru/content/view/655/75/" TargetMode="External" /><Relationship Id="rId4" Type="http://schemas.openxmlformats.org/officeDocument/2006/relationships/hyperlink" Target="http://www.profprokat.ru/content/view/148/52/" TargetMode="External" /><Relationship Id="rId5" Type="http://schemas.openxmlformats.org/officeDocument/2006/relationships/hyperlink" Target="http://www.profprokat.ru/content/view/347/8/" TargetMode="External" /><Relationship Id="rId6" Type="http://schemas.openxmlformats.org/officeDocument/2006/relationships/hyperlink" Target="http://www.profprokat.ru/content/view/483/72/" TargetMode="External" /><Relationship Id="rId7" Type="http://schemas.openxmlformats.org/officeDocument/2006/relationships/hyperlink" Target="http://www.profprokat.ru/content/view/289/8/" TargetMode="External" /><Relationship Id="rId8" Type="http://schemas.openxmlformats.org/officeDocument/2006/relationships/hyperlink" Target="http://www.profprokat.ru/content/view/768/76/" TargetMode="External" /><Relationship Id="rId9" Type="http://schemas.openxmlformats.org/officeDocument/2006/relationships/hyperlink" Target="http://www.profprokat.ru/content/view/655/75/" TargetMode="External" /><Relationship Id="rId10" Type="http://schemas.openxmlformats.org/officeDocument/2006/relationships/hyperlink" Target="http://www.profprokat.ru/content/view/242/8/" TargetMode="External" /><Relationship Id="rId11" Type="http://schemas.openxmlformats.org/officeDocument/2006/relationships/hyperlink" Target="http://www.profprokat.ru/content/view/1302/80/" TargetMode="External" /><Relationship Id="rId12" Type="http://schemas.openxmlformats.org/officeDocument/2006/relationships/hyperlink" Target="http://www.profprokat.ru/content/view/402/72/" TargetMode="External" /><Relationship Id="rId13" Type="http://schemas.openxmlformats.org/officeDocument/2006/relationships/hyperlink" Target="http://www.profprokat.ru/images/sklad_pp_big.jpg" TargetMode="External" /><Relationship Id="rId14" Type="http://schemas.openxmlformats.org/officeDocument/2006/relationships/hyperlink" Target="http://www.profprokat.ru/content/view/1305/75/" TargetMode="External" /><Relationship Id="rId15" Type="http://schemas.openxmlformats.org/officeDocument/2006/relationships/hyperlink" Target="http://www.profprokat.ru/content/view/654/75/" TargetMode="External" /><Relationship Id="rId16" Type="http://schemas.openxmlformats.org/officeDocument/2006/relationships/hyperlink" Target="http://www.profprokat.ru/content/view/678/75/" TargetMode="External" /><Relationship Id="rId17" Type="http://schemas.openxmlformats.org/officeDocument/2006/relationships/hyperlink" Target="http://www.profprokat.ru/content/view/442/72/" TargetMode="External" /><Relationship Id="rId18" Type="http://schemas.openxmlformats.org/officeDocument/2006/relationships/hyperlink" Target="http://www.profprokat.ru/content/view/867/74/" TargetMode="External" /><Relationship Id="rId19" Type="http://schemas.openxmlformats.org/officeDocument/2006/relationships/hyperlink" Target="http://www.profprokat.ru/content/view/181/52/" TargetMode="External" /><Relationship Id="rId20" Type="http://schemas.openxmlformats.org/officeDocument/2006/relationships/hyperlink" Target="http://www.profprokat.ru/content/view/737/76/" TargetMode="External" /><Relationship Id="rId21" Type="http://schemas.openxmlformats.org/officeDocument/2006/relationships/hyperlink" Target="http://www.profprokat.ru/content/view/181/52/" TargetMode="External" /><Relationship Id="rId22" Type="http://schemas.openxmlformats.org/officeDocument/2006/relationships/hyperlink" Target="http://www.profprokat.ru/content/view/139/52/" TargetMode="External" /><Relationship Id="rId23" Type="http://schemas.openxmlformats.org/officeDocument/2006/relationships/hyperlink" Target="http://www.profprokat.ru/content/view/139/52/" TargetMode="External" /><Relationship Id="rId24" Type="http://schemas.openxmlformats.org/officeDocument/2006/relationships/hyperlink" Target="http://www.profprokat.ru/content/view/139/52/" TargetMode="External" /><Relationship Id="rId25" Type="http://schemas.openxmlformats.org/officeDocument/2006/relationships/hyperlink" Target="http://www.profprokat.ru/content/view/139/52/" TargetMode="External" /><Relationship Id="rId26" Type="http://schemas.openxmlformats.org/officeDocument/2006/relationships/hyperlink" Target="http://www.profprokat.ru/content/view/139/52/" TargetMode="External" /><Relationship Id="rId27" Type="http://schemas.openxmlformats.org/officeDocument/2006/relationships/hyperlink" Target="http://www.profprokat.ru/content/view/139/52/" TargetMode="External" /><Relationship Id="rId28" Type="http://schemas.openxmlformats.org/officeDocument/2006/relationships/hyperlink" Target="http://www.profprokat.ru/content/view/381/72/" TargetMode="External" /><Relationship Id="rId29" Type="http://schemas.openxmlformats.org/officeDocument/2006/relationships/hyperlink" Target="http://www.profprokat.ru/content/view/391/72/" TargetMode="External" /><Relationship Id="rId30" Type="http://schemas.openxmlformats.org/officeDocument/2006/relationships/hyperlink" Target="http://www.profprokat.ru/content/view/456/72/" TargetMode="External" /><Relationship Id="rId31" Type="http://schemas.openxmlformats.org/officeDocument/2006/relationships/hyperlink" Target="http://www.profprokat.ru/content/view/483/72/" TargetMode="External" /><Relationship Id="rId32" Type="http://schemas.openxmlformats.org/officeDocument/2006/relationships/hyperlink" Target="http://www.profprokat.ru/content/view/483/72/" TargetMode="External" /><Relationship Id="rId33" Type="http://schemas.openxmlformats.org/officeDocument/2006/relationships/hyperlink" Target="http://www.profprokat.ru/content/view/483/72/" TargetMode="External" /><Relationship Id="rId34" Type="http://schemas.openxmlformats.org/officeDocument/2006/relationships/hyperlink" Target="http://www.profprokat.ru/content/view/148/52/" TargetMode="External" /><Relationship Id="rId35" Type="http://schemas.openxmlformats.org/officeDocument/2006/relationships/hyperlink" Target="http://www.profprokat.ru/content/view/692/75/" TargetMode="External" /><Relationship Id="rId36" Type="http://schemas.openxmlformats.org/officeDocument/2006/relationships/hyperlink" Target="http://www.profprokat.ru/content/view/658/75/" TargetMode="External" /><Relationship Id="rId37" Type="http://schemas.openxmlformats.org/officeDocument/2006/relationships/hyperlink" Target="http://www.profprokat.ru/content/view/658/75/" TargetMode="External" /><Relationship Id="rId38" Type="http://schemas.openxmlformats.org/officeDocument/2006/relationships/hyperlink" Target="http://www.profprokat.ru/content/view/658/75/" TargetMode="External" /><Relationship Id="rId39" Type="http://schemas.openxmlformats.org/officeDocument/2006/relationships/hyperlink" Target="http://www.profprokat.ru/content/view/681/75/" TargetMode="External" /><Relationship Id="rId40" Type="http://schemas.openxmlformats.org/officeDocument/2006/relationships/hyperlink" Target="http://www.profprokat.ru/content/view/878/74/" TargetMode="External" /><Relationship Id="rId41" Type="http://schemas.openxmlformats.org/officeDocument/2006/relationships/hyperlink" Target="http://www.profprokat.ru/content/view/837/74/" TargetMode="External" /><Relationship Id="rId42" Type="http://schemas.openxmlformats.org/officeDocument/2006/relationships/hyperlink" Target="http://www.profprokat.ru/content/view/242/8/" TargetMode="External" /><Relationship Id="rId43" Type="http://schemas.openxmlformats.org/officeDocument/2006/relationships/hyperlink" Target="http://www.profprokat.ru/content/view/765/76/" TargetMode="External" /><Relationship Id="rId44" Type="http://schemas.openxmlformats.org/officeDocument/2006/relationships/hyperlink" Target="http://www.profprokat.ru/content/view/181/52/" TargetMode="External" /><Relationship Id="rId45" Type="http://schemas.openxmlformats.org/officeDocument/2006/relationships/hyperlink" Target="http://www.profprokat.ru/content/view/242/8/" TargetMode="External" /><Relationship Id="rId46" Type="http://schemas.openxmlformats.org/officeDocument/2006/relationships/hyperlink" Target="http://www.profprokat.ru/content/view/1315/76/" TargetMode="External" /><Relationship Id="rId47" Type="http://schemas.openxmlformats.org/officeDocument/2006/relationships/hyperlink" Target="http://www.profprokat.ru/content/view/1315/76/" TargetMode="External" /><Relationship Id="rId48" Type="http://schemas.openxmlformats.org/officeDocument/2006/relationships/hyperlink" Target="http://www.profprokat.ru/content/view/694/75/" TargetMode="External" /><Relationship Id="rId49" Type="http://schemas.openxmlformats.org/officeDocument/2006/relationships/hyperlink" Target="http://www.profprokat.ru/content/view/878/74/" TargetMode="External" /><Relationship Id="rId50" Type="http://schemas.openxmlformats.org/officeDocument/2006/relationships/hyperlink" Target="http://www.profprokat.ru/content/view/308/8/" TargetMode="External" /><Relationship Id="rId51" Type="http://schemas.openxmlformats.org/officeDocument/2006/relationships/hyperlink" Target="http://www.profprokat.ru/content/view/242/8/" TargetMode="External" /><Relationship Id="rId52" Type="http://schemas.openxmlformats.org/officeDocument/2006/relationships/hyperlink" Target="http://www.profprokat.ru/content/view/242/8/" TargetMode="External" /><Relationship Id="rId53" Type="http://schemas.openxmlformats.org/officeDocument/2006/relationships/hyperlink" Target="http://www.profprokat.ru/content/view/242/8/" TargetMode="External" /><Relationship Id="rId54" Type="http://schemas.openxmlformats.org/officeDocument/2006/relationships/hyperlink" Target="http://www.profprokat.ru/content/view/676/75/" TargetMode="External" /><Relationship Id="rId55" Type="http://schemas.openxmlformats.org/officeDocument/2006/relationships/hyperlink" Target="http://www.profprokat.ru/content/view/396/72/" TargetMode="External" /><Relationship Id="rId56" Type="http://schemas.openxmlformats.org/officeDocument/2006/relationships/hyperlink" Target="http://www.profprokat.ru/content/view/443/72/" TargetMode="External" /><Relationship Id="rId57" Type="http://schemas.openxmlformats.org/officeDocument/2006/relationships/hyperlink" Target="http://www.profprokat.ru/content/view/1317/75/" TargetMode="External" /><Relationship Id="rId58" Type="http://schemas.openxmlformats.org/officeDocument/2006/relationships/hyperlink" Target="http://www.profprokat.ru/content/view/396/72/" TargetMode="External" /><Relationship Id="rId59" Type="http://schemas.openxmlformats.org/officeDocument/2006/relationships/hyperlink" Target="http://www.profprokat.ru/content/view/396/72/" TargetMode="External" /><Relationship Id="rId60" Type="http://schemas.openxmlformats.org/officeDocument/2006/relationships/hyperlink" Target="http://www.profprokat.ru/content/view/169/52/" TargetMode="External" /><Relationship Id="rId61" Type="http://schemas.openxmlformats.org/officeDocument/2006/relationships/hyperlink" Target="http://www.profprokat.ru/content/view/1315/76/" TargetMode="External" /><Relationship Id="rId62" Type="http://schemas.openxmlformats.org/officeDocument/2006/relationships/hyperlink" Target="http://www.profprokat.ru/content/view/1315/76/" TargetMode="External" /><Relationship Id="rId63" Type="http://schemas.openxmlformats.org/officeDocument/2006/relationships/hyperlink" Target="http://www.profprokat.ru/content/view/215/8/" TargetMode="External" /><Relationship Id="rId64" Type="http://schemas.openxmlformats.org/officeDocument/2006/relationships/hyperlink" Target="http://www.profprokat.ru/content/view/215/8/" TargetMode="External" /><Relationship Id="rId65" Type="http://schemas.openxmlformats.org/officeDocument/2006/relationships/hyperlink" Target="http://www.profprokat.ru/content/view/215/8/" TargetMode="External" /><Relationship Id="rId66" Type="http://schemas.openxmlformats.org/officeDocument/2006/relationships/hyperlink" Target="http://www.profprokat.ru/content/view/215/8/" TargetMode="External" /><Relationship Id="rId67" Type="http://schemas.openxmlformats.org/officeDocument/2006/relationships/hyperlink" Target="http://www.profprokat.ru/content/view/215/8/" TargetMode="External" /><Relationship Id="rId68" Type="http://schemas.openxmlformats.org/officeDocument/2006/relationships/hyperlink" Target="http://www.profprokat.ru/content/view/391/72/" TargetMode="External" /><Relationship Id="rId69" Type="http://schemas.openxmlformats.org/officeDocument/2006/relationships/hyperlink" Target="http://www.profprokat.ru/content/view/1288/75/" TargetMode="External" /><Relationship Id="rId70" Type="http://schemas.openxmlformats.org/officeDocument/2006/relationships/hyperlink" Target="http://www.profprokat.ru/content/view/1288/75/" TargetMode="External" /><Relationship Id="rId71" Type="http://schemas.openxmlformats.org/officeDocument/2006/relationships/hyperlink" Target="http://www.profprokat.ru/content/view/1288/75/" TargetMode="External" /><Relationship Id="rId72" Type="http://schemas.openxmlformats.org/officeDocument/2006/relationships/hyperlink" Target="http://www.profprokat.ru/content/view/1288/75/" TargetMode="External" /><Relationship Id="rId73" Type="http://schemas.openxmlformats.org/officeDocument/2006/relationships/hyperlink" Target="http://www.profprokat.ru/content/view/1288/75/" TargetMode="External" /><Relationship Id="rId74" Type="http://schemas.openxmlformats.org/officeDocument/2006/relationships/hyperlink" Target="http://www.profprokat.ru/content/view/1316/76/" TargetMode="External" /><Relationship Id="rId75" Type="http://schemas.openxmlformats.org/officeDocument/2006/relationships/hyperlink" Target="http://www.profprokat.ru/content/view/181/52/" TargetMode="External" /><Relationship Id="rId76" Type="http://schemas.openxmlformats.org/officeDocument/2006/relationships/hyperlink" Target="http://www.profprokat.ru/content/view/725/76/" TargetMode="External" /><Relationship Id="rId77" Type="http://schemas.openxmlformats.org/officeDocument/2006/relationships/hyperlink" Target="http://www.profprokat.ru/content/view/242/8/" TargetMode="External" /><Relationship Id="rId78" Type="http://schemas.openxmlformats.org/officeDocument/2006/relationships/hyperlink" Target="http://www.profprokat.ru/content/view/778/76/" TargetMode="External" /><Relationship Id="rId79" Type="http://schemas.openxmlformats.org/officeDocument/2006/relationships/hyperlink" Target="http://www.profprokat.ru/content/view/778/76/" TargetMode="External" /><Relationship Id="rId80" Type="http://schemas.openxmlformats.org/officeDocument/2006/relationships/hyperlink" Target="http://www.profprokat.ru/content/view/778/76/" TargetMode="External" /><Relationship Id="rId81" Type="http://schemas.openxmlformats.org/officeDocument/2006/relationships/hyperlink" Target="http://www.profprokat.ru/content/view/1288/75/" TargetMode="External" /><Relationship Id="rId82" Type="http://schemas.openxmlformats.org/officeDocument/2006/relationships/hyperlink" Target="http://www.profprokat.ru/content/view/1288/75/" TargetMode="External" /><Relationship Id="rId83" Type="http://schemas.openxmlformats.org/officeDocument/2006/relationships/hyperlink" Target="http://www.profprokat.ru/content/view/277/8/" TargetMode="External" /><Relationship Id="rId84" Type="http://schemas.openxmlformats.org/officeDocument/2006/relationships/hyperlink" Target="http://www.profprokat.ru/content/view/403/72/" TargetMode="External" /><Relationship Id="rId85" Type="http://schemas.openxmlformats.org/officeDocument/2006/relationships/hyperlink" Target="http://www.profprokat.ru/content/view/242/8/" TargetMode="External" /><Relationship Id="rId86" Type="http://schemas.openxmlformats.org/officeDocument/2006/relationships/hyperlink" Target="http://www.profprokat.ru/content/view/289/8/" TargetMode="External" /><Relationship Id="rId87" Type="http://schemas.openxmlformats.org/officeDocument/2006/relationships/hyperlink" Target="http://www.profprokat.ru/content/view/473/72/" TargetMode="External" /><Relationship Id="rId88" Type="http://schemas.openxmlformats.org/officeDocument/2006/relationships/hyperlink" Target="http://www.profprokat.ru/content/view/396/72/" TargetMode="External" /><Relationship Id="rId89" Type="http://schemas.openxmlformats.org/officeDocument/2006/relationships/hyperlink" Target="http://www.profprokat.ru/content/view/396/72/" TargetMode="External" /><Relationship Id="rId90" Type="http://schemas.openxmlformats.org/officeDocument/2006/relationships/hyperlink" Target="http://www.profprokat.ru/content/view/396/72/" TargetMode="External" /><Relationship Id="rId91" Type="http://schemas.openxmlformats.org/officeDocument/2006/relationships/hyperlink" Target="http://www.profprokat.ru/content/view/455/72/" TargetMode="External" /><Relationship Id="rId92" Type="http://schemas.openxmlformats.org/officeDocument/2006/relationships/hyperlink" Target="http://www.profprokat.ru/content/view/455/72/" TargetMode="External" /><Relationship Id="rId93" Type="http://schemas.openxmlformats.org/officeDocument/2006/relationships/hyperlink" Target="http://www.profprokat.ru/content/view/455/72/" TargetMode="External" /><Relationship Id="rId94" Type="http://schemas.openxmlformats.org/officeDocument/2006/relationships/hyperlink" Target="http://www.profprokat.ru/content/view/455/72/" TargetMode="External" /><Relationship Id="rId95" Type="http://schemas.openxmlformats.org/officeDocument/2006/relationships/hyperlink" Target="http://www.profprokat.ru/content/view/242/8/" TargetMode="External" /><Relationship Id="rId96" Type="http://schemas.openxmlformats.org/officeDocument/2006/relationships/hyperlink" Target="http://www.profprokat.ru/content/view/148/52/" TargetMode="External" /><Relationship Id="rId97" Type="http://schemas.openxmlformats.org/officeDocument/2006/relationships/hyperlink" Target="http://www.profprokat.ru/content/view/167/52/" TargetMode="External" /><Relationship Id="rId98" Type="http://schemas.openxmlformats.org/officeDocument/2006/relationships/hyperlink" Target="http://www.profprokat.ru/content/view/167/52/" TargetMode="External" /><Relationship Id="rId99" Type="http://schemas.openxmlformats.org/officeDocument/2006/relationships/hyperlink" Target="http://www.profprokat.ru/content/view/167/52/" TargetMode="External" /><Relationship Id="rId100" Type="http://schemas.openxmlformats.org/officeDocument/2006/relationships/hyperlink" Target="http://www.profprokat.ru/content/view/167/52/" TargetMode="External" /><Relationship Id="rId101" Type="http://schemas.openxmlformats.org/officeDocument/2006/relationships/hyperlink" Target="http://www.profprokat.ru/content/view/220/8/" TargetMode="External" /><Relationship Id="rId102" Type="http://schemas.openxmlformats.org/officeDocument/2006/relationships/hyperlink" Target="http://www.profprokat.ru/content/view/242/8/" TargetMode="External" /><Relationship Id="rId103" Type="http://schemas.openxmlformats.org/officeDocument/2006/relationships/hyperlink" Target="http://www.profprokat.ru/content/view/148/52/" TargetMode="External" /><Relationship Id="rId104" Type="http://schemas.openxmlformats.org/officeDocument/2006/relationships/hyperlink" Target="http://www.profprokat.ru/content/view/148/52/" TargetMode="External" /><Relationship Id="rId105" Type="http://schemas.openxmlformats.org/officeDocument/2006/relationships/hyperlink" Target="http://www.profprokat.ru/content/view/706/75/" TargetMode="External" /><Relationship Id="rId106" Type="http://schemas.openxmlformats.org/officeDocument/2006/relationships/hyperlink" Target="http://www.profprokat.ru/content/view/181/52/" TargetMode="External" /><Relationship Id="rId107" Type="http://schemas.openxmlformats.org/officeDocument/2006/relationships/hyperlink" Target="http://www.profprokat.ru/content/view/241/8/" TargetMode="External" /><Relationship Id="rId108" Type="http://schemas.openxmlformats.org/officeDocument/2006/relationships/hyperlink" Target="http://www.profprokat.ru/content/view/958/70/" TargetMode="External" /><Relationship Id="rId109" Type="http://schemas.openxmlformats.org/officeDocument/2006/relationships/hyperlink" Target="http://www.profprokat.ru/content/view/958/70/" TargetMode="External" /><Relationship Id="rId110" Type="http://schemas.openxmlformats.org/officeDocument/2006/relationships/hyperlink" Target="http://www.profprokat.ru/content/view/958/70/" TargetMode="External" /><Relationship Id="rId111" Type="http://schemas.openxmlformats.org/officeDocument/2006/relationships/hyperlink" Target="http://www.profprokat.ru/content/view/958/70/" TargetMode="External" /><Relationship Id="rId112" Type="http://schemas.openxmlformats.org/officeDocument/2006/relationships/hyperlink" Target="http://www.profprokat.ru/content/view/958/70/" TargetMode="External" /><Relationship Id="rId113" Type="http://schemas.openxmlformats.org/officeDocument/2006/relationships/hyperlink" Target="http://www.profprokat.ru/content/view/347/8/" TargetMode="External" /><Relationship Id="rId114" Type="http://schemas.openxmlformats.org/officeDocument/2006/relationships/hyperlink" Target="http://www.profprokat.ru/content/view/148/52/" TargetMode="External" /><Relationship Id="rId115" Type="http://schemas.openxmlformats.org/officeDocument/2006/relationships/hyperlink" Target="http://www.profprokat.ru/content/view/878/74/" TargetMode="External" /><Relationship Id="rId116" Type="http://schemas.openxmlformats.org/officeDocument/2006/relationships/hyperlink" Target="http://www.profprokat.ru/content/view/711/75/" TargetMode="External" /><Relationship Id="rId117" Type="http://schemas.openxmlformats.org/officeDocument/2006/relationships/hyperlink" Target="http://www.profprokat.ru/content/view/711/75/" TargetMode="External" /><Relationship Id="rId118" Type="http://schemas.openxmlformats.org/officeDocument/2006/relationships/hyperlink" Target="http://www.profprokat.ru/content/view/220/8/" TargetMode="External" /><Relationship Id="rId119" Type="http://schemas.openxmlformats.org/officeDocument/2006/relationships/hyperlink" Target="http://www.profprokat.ru/content/view/182/8/" TargetMode="External" /><Relationship Id="rId120" Type="http://schemas.openxmlformats.org/officeDocument/2006/relationships/hyperlink" Target="http://www.profprokat.ru/content/view/210/8/" TargetMode="External" /><Relationship Id="rId121" Type="http://schemas.openxmlformats.org/officeDocument/2006/relationships/hyperlink" Target="http://www.profprokat.ru/content/view/648/75/" TargetMode="External" /><Relationship Id="rId122" Type="http://schemas.openxmlformats.org/officeDocument/2006/relationships/hyperlink" Target="http://www.profprokat.ru/content/view/1288/75/" TargetMode="External" /><Relationship Id="rId123" Type="http://schemas.openxmlformats.org/officeDocument/2006/relationships/hyperlink" Target="http://www.profprokat.ru/content/view/692/75/" TargetMode="External" /><Relationship Id="rId124" Type="http://schemas.openxmlformats.org/officeDocument/2006/relationships/hyperlink" Target="http://www.profprokat.ru/content/view/1288/75/" TargetMode="External" /><Relationship Id="rId125" Type="http://schemas.openxmlformats.org/officeDocument/2006/relationships/hyperlink" Target="http://www.profprokat.ru/content/view/197/8/" TargetMode="External" /><Relationship Id="rId126" Type="http://schemas.openxmlformats.org/officeDocument/2006/relationships/hyperlink" Target="http://www.profprokat.ru/content/view/706/75/" TargetMode="External" /><Relationship Id="rId127" Type="http://schemas.openxmlformats.org/officeDocument/2006/relationships/hyperlink" Target="http://www.profprokat.ru/content/view/706/75/" TargetMode="External" /><Relationship Id="rId128" Type="http://schemas.openxmlformats.org/officeDocument/2006/relationships/hyperlink" Target="http://www.profprokat.ru/content/view/215/8/" TargetMode="External" /><Relationship Id="rId129" Type="http://schemas.openxmlformats.org/officeDocument/2006/relationships/hyperlink" Target="http://www.profprokat.ru/content/view/215/8/" TargetMode="External" /><Relationship Id="rId130" Type="http://schemas.openxmlformats.org/officeDocument/2006/relationships/hyperlink" Target="http://www.profprokat.ru/content/view/215/8/" TargetMode="External" /><Relationship Id="rId131" Type="http://schemas.openxmlformats.org/officeDocument/2006/relationships/hyperlink" Target="http://www.profprokat.ru/content/view/215/8/" TargetMode="External" /><Relationship Id="rId132" Type="http://schemas.openxmlformats.org/officeDocument/2006/relationships/hyperlink" Target="http://www.profprokat.ru/content/view/215/8/" TargetMode="External" /><Relationship Id="rId133" Type="http://schemas.openxmlformats.org/officeDocument/2006/relationships/hyperlink" Target="http://www.profprokat.ru/content/view/1315/76/" TargetMode="External" /><Relationship Id="rId134" Type="http://schemas.openxmlformats.org/officeDocument/2006/relationships/hyperlink" Target="http://www.profprokat.ru/content/view/725/76/" TargetMode="External" /><Relationship Id="rId135" Type="http://schemas.openxmlformats.org/officeDocument/2006/relationships/hyperlink" Target="http://www.profprokat.ru/content/view/725/76/" TargetMode="External" /><Relationship Id="rId136" Type="http://schemas.openxmlformats.org/officeDocument/2006/relationships/hyperlink" Target="http://www.profprokat.ru/content/view/725/76/" TargetMode="External" /><Relationship Id="rId137" Type="http://schemas.openxmlformats.org/officeDocument/2006/relationships/hyperlink" Target="http://www.profprokat.ru/content/view/197/8/" TargetMode="External" /><Relationship Id="rId138" Type="http://schemas.openxmlformats.org/officeDocument/2006/relationships/hyperlink" Target="http://www.profprokat.ru/content/view/731/76/" TargetMode="External" /><Relationship Id="rId139" Type="http://schemas.openxmlformats.org/officeDocument/2006/relationships/hyperlink" Target="http://www.profprokat.ru/content/view/729/76/" TargetMode="External" /><Relationship Id="rId140" Type="http://schemas.openxmlformats.org/officeDocument/2006/relationships/hyperlink" Target="http://www.profprokat.ru/content/view/735/76/" TargetMode="External" /><Relationship Id="rId141" Type="http://schemas.openxmlformats.org/officeDocument/2006/relationships/hyperlink" Target="http://www.profprokat.ru/content/view/735/76/" TargetMode="External" /><Relationship Id="rId142" Type="http://schemas.openxmlformats.org/officeDocument/2006/relationships/hyperlink" Target="http://www.profprokat.ru/content/view/1315/76/" TargetMode="External" /><Relationship Id="rId143" Type="http://schemas.openxmlformats.org/officeDocument/2006/relationships/hyperlink" Target="http://www.profprokat.ru/content/view/1315/76/" TargetMode="External" /><Relationship Id="rId144" Type="http://schemas.openxmlformats.org/officeDocument/2006/relationships/hyperlink" Target="http://www.profprokat.ru/content/view/879/74/" TargetMode="External" /><Relationship Id="rId145" Type="http://schemas.openxmlformats.org/officeDocument/2006/relationships/hyperlink" Target="http://www.profprokat.ru/content/view/242/8/" TargetMode="External" /><Relationship Id="rId146" Type="http://schemas.openxmlformats.org/officeDocument/2006/relationships/hyperlink" Target="http://www.profprokat.ru/content/view/242/8/" TargetMode="External" /><Relationship Id="rId147" Type="http://schemas.openxmlformats.org/officeDocument/2006/relationships/hyperlink" Target="http://www.profprokat.ru/content/view/731/76/" TargetMode="External" /><Relationship Id="rId148" Type="http://schemas.openxmlformats.org/officeDocument/2006/relationships/hyperlink" Target="http://www.profprokat.ru/content/view/1288/75/" TargetMode="External" /><Relationship Id="rId149" Type="http://schemas.openxmlformats.org/officeDocument/2006/relationships/hyperlink" Target="http://www.profprokat.ru/content/view/490/72/" TargetMode="External" /><Relationship Id="rId150" Type="http://schemas.openxmlformats.org/officeDocument/2006/relationships/hyperlink" Target="http://www.profprokat.ru/content/view/490/72/" TargetMode="External" /><Relationship Id="rId151" Type="http://schemas.openxmlformats.org/officeDocument/2006/relationships/hyperlink" Target="http://www.profprokat.ru/content/view/1315/76/" TargetMode="External" /><Relationship Id="rId152" Type="http://schemas.openxmlformats.org/officeDocument/2006/relationships/hyperlink" Target="http://www.profprokat.ru/content/view/1315/76/" TargetMode="External" /><Relationship Id="rId153" Type="http://schemas.openxmlformats.org/officeDocument/2006/relationships/hyperlink" Target="http://www.profprokat.ru/content/view/139/52/" TargetMode="External" /><Relationship Id="rId154" Type="http://schemas.openxmlformats.org/officeDocument/2006/relationships/hyperlink" Target="http://www.profprokat.ru/content/view/443/72/" TargetMode="External" /><Relationship Id="rId155" Type="http://schemas.openxmlformats.org/officeDocument/2006/relationships/hyperlink" Target="http://www.profprokat.ru/content/view/242/8/" TargetMode="External" /><Relationship Id="rId156" Type="http://schemas.openxmlformats.org/officeDocument/2006/relationships/hyperlink" Target="http://www.profprokat.ru/content/view/742/76/" TargetMode="External" /><Relationship Id="rId157" Type="http://schemas.openxmlformats.org/officeDocument/2006/relationships/hyperlink" Target="http://www.profprokat.ru/content/view/731/76/" TargetMode="External" /><Relationship Id="rId158" Type="http://schemas.openxmlformats.org/officeDocument/2006/relationships/hyperlink" Target="http://www.profprokat.ru/content/view/139/52/" TargetMode="External" /><Relationship Id="rId159" Type="http://schemas.openxmlformats.org/officeDocument/2006/relationships/hyperlink" Target="http://www.profprokat.ru/content/view/877/74/" TargetMode="External" /><Relationship Id="rId160" Type="http://schemas.openxmlformats.org/officeDocument/2006/relationships/hyperlink" Target="http://www.profprokat.ru/content/view/877/74/" TargetMode="External" /><Relationship Id="rId161" Type="http://schemas.openxmlformats.org/officeDocument/2006/relationships/hyperlink" Target="http://www.profprokat.ru/content/view/708/75/" TargetMode="External" /><Relationship Id="rId162" Type="http://schemas.openxmlformats.org/officeDocument/2006/relationships/hyperlink" Target="http://www.profprokat.ru/content/view/160/52/" TargetMode="External" /><Relationship Id="rId163" Type="http://schemas.openxmlformats.org/officeDocument/2006/relationships/hyperlink" Target="http://www.profprokat.ru/content/view/181/52/" TargetMode="External" /><Relationship Id="rId164" Type="http://schemas.openxmlformats.org/officeDocument/2006/relationships/hyperlink" Target="http://www.profprokat.ru/content/view/181/52/" TargetMode="External" /><Relationship Id="rId165" Type="http://schemas.openxmlformats.org/officeDocument/2006/relationships/hyperlink" Target="http://www.profprokat.ru/content/view/131/52/" TargetMode="External" /><Relationship Id="rId166" Type="http://schemas.openxmlformats.org/officeDocument/2006/relationships/hyperlink" Target="http://www.profprokat.ru/content/view/308/8/" TargetMode="External" /><Relationship Id="rId167" Type="http://schemas.openxmlformats.org/officeDocument/2006/relationships/hyperlink" Target="http://www.profprokat.ru/content/view/664/75/" TargetMode="External" /><Relationship Id="rId168" Type="http://schemas.openxmlformats.org/officeDocument/2006/relationships/hyperlink" Target="http://www.profprokat.ru/content/view/199/8/" TargetMode="External" /><Relationship Id="rId169" Type="http://schemas.openxmlformats.org/officeDocument/2006/relationships/hyperlink" Target="http://www.profprokat.ru/content/view/242/8/" TargetMode="External" /><Relationship Id="rId170" Type="http://schemas.openxmlformats.org/officeDocument/2006/relationships/hyperlink" Target="http://www.profprokat.ru/content/view/242/8/" TargetMode="External" /><Relationship Id="rId171" Type="http://schemas.openxmlformats.org/officeDocument/2006/relationships/hyperlink" Target="http://www.profprokat.ru/content/view/878/74/" TargetMode="External" /><Relationship Id="rId172" Type="http://schemas.openxmlformats.org/officeDocument/2006/relationships/hyperlink" Target="http://www.profprokat.ru/content/view/197/8/" TargetMode="External" /><Relationship Id="rId173" Type="http://schemas.openxmlformats.org/officeDocument/2006/relationships/hyperlink" Target="http://www.profprokat.ru/content/view/664/75/" TargetMode="External" /><Relationship Id="rId174" Type="http://schemas.openxmlformats.org/officeDocument/2006/relationships/hyperlink" Target="http://www.profprokat.ru/content/view/1288/75/" TargetMode="External" /><Relationship Id="rId175" Type="http://schemas.openxmlformats.org/officeDocument/2006/relationships/hyperlink" Target="http://www.profprokat.ru/content/view/167/52/" TargetMode="External" /><Relationship Id="rId176" Type="http://schemas.openxmlformats.org/officeDocument/2006/relationships/hyperlink" Target="http://www.profprokat.ru/content/view/1323/8/" TargetMode="External" /><Relationship Id="rId177" Type="http://schemas.openxmlformats.org/officeDocument/2006/relationships/hyperlink" Target="http://www.profprokat.ru/content/view/1288/75/" TargetMode="External" /><Relationship Id="rId178" Type="http://schemas.openxmlformats.org/officeDocument/2006/relationships/hyperlink" Target="http://www.profprokat.ru/content/view/1322/75/" TargetMode="External" /><Relationship Id="rId179" Type="http://schemas.openxmlformats.org/officeDocument/2006/relationships/hyperlink" Target="http://www.profprokat.ru/content/view/167/52/" TargetMode="External" /><Relationship Id="rId180" Type="http://schemas.openxmlformats.org/officeDocument/2006/relationships/hyperlink" Target="http://www.profprokat.ru/content/view/746/76/" TargetMode="External" /><Relationship Id="rId181" Type="http://schemas.openxmlformats.org/officeDocument/2006/relationships/hyperlink" Target="http://www.profprokat.ru/content/view/1304/75/" TargetMode="External" /><Relationship Id="rId182" Type="http://schemas.openxmlformats.org/officeDocument/2006/relationships/hyperlink" Target="http://www.profprokat.ru/content/view/877/74/" TargetMode="External" /><Relationship Id="rId183" Type="http://schemas.openxmlformats.org/officeDocument/2006/relationships/hyperlink" Target="http://www.profprokat.ru/content/view/167/52/" TargetMode="External" /><Relationship Id="rId184" Type="http://schemas.openxmlformats.org/officeDocument/2006/relationships/hyperlink" Target="http://www.profprokat.ru/content/view/167/52/" TargetMode="External" /><Relationship Id="rId185" Type="http://schemas.openxmlformats.org/officeDocument/2006/relationships/hyperlink" Target="http://www.profprokat.ru/content/view/167/52/" TargetMode="External" /><Relationship Id="rId186" Type="http://schemas.openxmlformats.org/officeDocument/2006/relationships/hyperlink" Target="http://www.profprokat.ru/content/view/167/52/" TargetMode="External" /><Relationship Id="rId187" Type="http://schemas.openxmlformats.org/officeDocument/2006/relationships/hyperlink" Target="http://www.profprokat.ru/content/view/167/52/" TargetMode="External" /><Relationship Id="rId188" Type="http://schemas.openxmlformats.org/officeDocument/2006/relationships/hyperlink" Target="http://www.profprokat.ru/content/view/167/52/" TargetMode="External" /><Relationship Id="rId189" Type="http://schemas.openxmlformats.org/officeDocument/2006/relationships/hyperlink" Target="http://www.profprokat.ru/content/view/167/52/" TargetMode="External" /><Relationship Id="rId190" Type="http://schemas.openxmlformats.org/officeDocument/2006/relationships/hyperlink" Target="http://www.profprokat.ru/content/view/167/52/" TargetMode="External" /><Relationship Id="rId191" Type="http://schemas.openxmlformats.org/officeDocument/2006/relationships/hyperlink" Target="http://www.profprokat.ru/content/view/167/52/" TargetMode="External" /><Relationship Id="rId192" Type="http://schemas.openxmlformats.org/officeDocument/2006/relationships/hyperlink" Target="http://www.profprokat.ru/content/view/167/52/" TargetMode="External" /><Relationship Id="rId193" Type="http://schemas.openxmlformats.org/officeDocument/2006/relationships/hyperlink" Target="http://www.profprokat.ru/content/view/167/52/" TargetMode="External" /><Relationship Id="rId194" Type="http://schemas.openxmlformats.org/officeDocument/2006/relationships/hyperlink" Target="http://www.profprokat.ru/content/view/167/52/" TargetMode="External" /><Relationship Id="rId195" Type="http://schemas.openxmlformats.org/officeDocument/2006/relationships/hyperlink" Target="http://www.profprokat.ru/content/view/167/52/" TargetMode="External" /><Relationship Id="rId196" Type="http://schemas.openxmlformats.org/officeDocument/2006/relationships/hyperlink" Target="http://www.profprokat.ru/content/view/167/52/" TargetMode="External" /><Relationship Id="rId197" Type="http://schemas.openxmlformats.org/officeDocument/2006/relationships/hyperlink" Target="http://www.profprokat.ru/content/view/167/52/" TargetMode="External" /><Relationship Id="rId198" Type="http://schemas.openxmlformats.org/officeDocument/2006/relationships/hyperlink" Target="http://www.profprokat.ru/content/view/167/52/" TargetMode="External" /><Relationship Id="rId199" Type="http://schemas.openxmlformats.org/officeDocument/2006/relationships/hyperlink" Target="http://www.profprokat.ru/content/view/167/52/" TargetMode="External" /><Relationship Id="rId200" Type="http://schemas.openxmlformats.org/officeDocument/2006/relationships/hyperlink" Target="http://www.profprokat.ru/content/view/167/52/" TargetMode="External" /><Relationship Id="rId201" Type="http://schemas.openxmlformats.org/officeDocument/2006/relationships/hyperlink" Target="http://www.profprokat.ru/content/view/167/52/" TargetMode="External" /><Relationship Id="rId202" Type="http://schemas.openxmlformats.org/officeDocument/2006/relationships/hyperlink" Target="http://www.profprokat.ru/content/view/167/52/" TargetMode="External" /><Relationship Id="rId203" Type="http://schemas.openxmlformats.org/officeDocument/2006/relationships/hyperlink" Target="http://www.profprokat.ru/content/view/167/52/" TargetMode="External" /><Relationship Id="rId204" Type="http://schemas.openxmlformats.org/officeDocument/2006/relationships/hyperlink" Target="http://www.profprokat.ru/content/view/167/52/" TargetMode="External" /><Relationship Id="rId205" Type="http://schemas.openxmlformats.org/officeDocument/2006/relationships/hyperlink" Target="http://www.profprokat.ru/content/view/167/52/" TargetMode="External" /><Relationship Id="rId206" Type="http://schemas.openxmlformats.org/officeDocument/2006/relationships/hyperlink" Target="http://www.profprokat.ru/content/view/727/76/" TargetMode="External" /><Relationship Id="rId207" Type="http://schemas.openxmlformats.org/officeDocument/2006/relationships/hyperlink" Target="http://www.profprokat.ru/content/view/167/52/" TargetMode="External" /><Relationship Id="rId208" Type="http://schemas.openxmlformats.org/officeDocument/2006/relationships/hyperlink" Target="http://www.profprokat.ru/content/view/1288/75/" TargetMode="External" /><Relationship Id="rId209" Type="http://schemas.openxmlformats.org/officeDocument/2006/relationships/hyperlink" Target="http://www.profprokat.ru/content/view/167/52/" TargetMode="External" /><Relationship Id="rId210" Type="http://schemas.openxmlformats.org/officeDocument/2006/relationships/hyperlink" Target="http://www.profprokat.ru/content/view/692/75/" TargetMode="External" /><Relationship Id="rId211" Type="http://schemas.openxmlformats.org/officeDocument/2006/relationships/hyperlink" Target="http://www.profprokat.ru/content/view/764/76/" TargetMode="External" /><Relationship Id="rId212" Type="http://schemas.openxmlformats.org/officeDocument/2006/relationships/hyperlink" Target="http://www.profprokat.ru/content/view/764/76/" TargetMode="External" /><Relationship Id="rId213" Type="http://schemas.openxmlformats.org/officeDocument/2006/relationships/hyperlink" Target="http://www.profprokat.ru/content/view/776/76/" TargetMode="External" /><Relationship Id="rId214" Type="http://schemas.openxmlformats.org/officeDocument/2006/relationships/hyperlink" Target="http://www.profprokat.ru/content/view/692/75/" TargetMode="External" /><Relationship Id="rId215" Type="http://schemas.openxmlformats.org/officeDocument/2006/relationships/hyperlink" Target="http://www.profprokat.ru/content/view/169/52/" TargetMode="External" /><Relationship Id="rId216" Type="http://schemas.openxmlformats.org/officeDocument/2006/relationships/hyperlink" Target="http://www.profprokat.ru/content/view/766/76/" TargetMode="External" /><Relationship Id="rId217" Type="http://schemas.openxmlformats.org/officeDocument/2006/relationships/hyperlink" Target="http://www.profprokat.ru/content/view/766/76/" TargetMode="External" /><Relationship Id="rId218" Type="http://schemas.openxmlformats.org/officeDocument/2006/relationships/hyperlink" Target="http://www.profprokat.ru/content/view/766/76/" TargetMode="External" /><Relationship Id="rId219" Type="http://schemas.openxmlformats.org/officeDocument/2006/relationships/hyperlink" Target="http://www.profprokat.ru/content/view/766/76/" TargetMode="External" /><Relationship Id="rId220" Type="http://schemas.openxmlformats.org/officeDocument/2006/relationships/hyperlink" Target="http://www.profprokat.ru/content/view/766/76/" TargetMode="External" /><Relationship Id="rId221" Type="http://schemas.openxmlformats.org/officeDocument/2006/relationships/hyperlink" Target="http://www.profprokat.ru/content/view/766/76/" TargetMode="External" /><Relationship Id="rId222" Type="http://schemas.openxmlformats.org/officeDocument/2006/relationships/hyperlink" Target="http://www.profprokat.ru/content/view/766/76/" TargetMode="External" /><Relationship Id="rId223" Type="http://schemas.openxmlformats.org/officeDocument/2006/relationships/hyperlink" Target="http://www.profprokat.ru/content/view/766/76/" TargetMode="External" /><Relationship Id="rId224" Type="http://schemas.openxmlformats.org/officeDocument/2006/relationships/hyperlink" Target="http://www.profprokat.ru/content/view/766/76/" TargetMode="External" /><Relationship Id="rId225" Type="http://schemas.openxmlformats.org/officeDocument/2006/relationships/hyperlink" Target="http://www.profprokat.ru/content/view/766/76/" TargetMode="External" /><Relationship Id="rId226" Type="http://schemas.openxmlformats.org/officeDocument/2006/relationships/hyperlink" Target="http://www.profprokat.ru/content/view/766/76/" TargetMode="External" /><Relationship Id="rId227" Type="http://schemas.openxmlformats.org/officeDocument/2006/relationships/hyperlink" Target="http://www.profprokat.ru/content/view/169/52/" TargetMode="External" /><Relationship Id="rId228" Type="http://schemas.openxmlformats.org/officeDocument/2006/relationships/hyperlink" Target="http://www.profprokat.ru/content/view/169/52/" TargetMode="External" /><Relationship Id="rId229" Type="http://schemas.openxmlformats.org/officeDocument/2006/relationships/hyperlink" Target="http://www.profprokat.ru/content/view/169/52/" TargetMode="External" /><Relationship Id="rId230" Type="http://schemas.openxmlformats.org/officeDocument/2006/relationships/hyperlink" Target="http://www.profprokat.ru/content/view/167/52/" TargetMode="External" /><Relationship Id="rId231" Type="http://schemas.openxmlformats.org/officeDocument/2006/relationships/hyperlink" Target="http://www.profprokat.ru/content/view/242/8/" TargetMode="External" /><Relationship Id="rId232" Type="http://schemas.openxmlformats.org/officeDocument/2006/relationships/hyperlink" Target="http://www.profprokat.ru/content/view/242/8/" TargetMode="External" /><Relationship Id="rId233" Type="http://schemas.openxmlformats.org/officeDocument/2006/relationships/hyperlink" Target="http://www.profprokat.ru/content/view/1288/75/" TargetMode="External" /><Relationship Id="rId234" Type="http://schemas.openxmlformats.org/officeDocument/2006/relationships/hyperlink" Target="http://www.profprokat.ru/content/view/770/76/" TargetMode="External" /><Relationship Id="rId235" Type="http://schemas.openxmlformats.org/officeDocument/2006/relationships/hyperlink" Target="http://www.profprokat.ru/content/view/1304/75/" TargetMode="External" /><Relationship Id="rId236" Type="http://schemas.openxmlformats.org/officeDocument/2006/relationships/hyperlink" Target="http://www.profprokat.ru/content/view/1324/72/" TargetMode="External" /><Relationship Id="rId237" Type="http://schemas.openxmlformats.org/officeDocument/2006/relationships/hyperlink" Target="http://www.profprokat.ru/content/view/1325/72/" TargetMode="External" /><Relationship Id="rId238" Type="http://schemas.openxmlformats.org/officeDocument/2006/relationships/hyperlink" Target="http://www.profprokat.ru/content/view/1326/72/" TargetMode="External" /><Relationship Id="rId239" Type="http://schemas.openxmlformats.org/officeDocument/2006/relationships/hyperlink" Target="http://www.profprokat.ru/content/view/1304/75/" TargetMode="External" /><Relationship Id="rId240" Type="http://schemas.openxmlformats.org/officeDocument/2006/relationships/hyperlink" Target="http://www.profprokat.ru/content/view/482/72/" TargetMode="External" /><Relationship Id="rId241" Type="http://schemas.openxmlformats.org/officeDocument/2006/relationships/hyperlink" Target="http://www.profprokat.ru/content/view/482/72/" TargetMode="External" /><Relationship Id="rId242" Type="http://schemas.openxmlformats.org/officeDocument/2006/relationships/hyperlink" Target="http://www.profprokat.ru/content/view/725/76/" TargetMode="External" /><Relationship Id="rId243" Type="http://schemas.openxmlformats.org/officeDocument/2006/relationships/hyperlink" Target="http://www.profprokat.ru/content/view/725/76/" TargetMode="External" /><Relationship Id="rId244" Type="http://schemas.openxmlformats.org/officeDocument/2006/relationships/hyperlink" Target="http://www.profprokat.ru/content/view/766/76/" TargetMode="External" /><Relationship Id="rId245" Type="http://schemas.openxmlformats.org/officeDocument/2006/relationships/hyperlink" Target="http://www.profprokat.ru/content/view/878/74/" TargetMode="External" /><Relationship Id="rId246" Type="http://schemas.openxmlformats.org/officeDocument/2006/relationships/hyperlink" Target="http://www.profprokat.ru/content/view/242/8/" TargetMode="External" /><Relationship Id="rId247" Type="http://schemas.openxmlformats.org/officeDocument/2006/relationships/hyperlink" Target="http://www.profprokat.ru/content/view/242/8/" TargetMode="External" /><Relationship Id="rId248" Type="http://schemas.openxmlformats.org/officeDocument/2006/relationships/hyperlink" Target="http://www.profprokat.ru/content/view/61/8/" TargetMode="External" /><Relationship Id="rId249" Type="http://schemas.openxmlformats.org/officeDocument/2006/relationships/hyperlink" Target="http://www.profprokat.ru/content/view/181/52/" TargetMode="External" /><Relationship Id="rId250" Type="http://schemas.openxmlformats.org/officeDocument/2006/relationships/hyperlink" Target="http://www.profprokat.ru/content/view/181/52/" TargetMode="External" /><Relationship Id="rId251" Type="http://schemas.openxmlformats.org/officeDocument/2006/relationships/hyperlink" Target="http://www.profprokat.ru/content/view/731/76/" TargetMode="External" /><Relationship Id="rId252" Type="http://schemas.openxmlformats.org/officeDocument/2006/relationships/hyperlink" Target="http://www.profprokat.ru/content/view/396/72/" TargetMode="External" /><Relationship Id="rId253" Type="http://schemas.openxmlformats.org/officeDocument/2006/relationships/hyperlink" Target="http://www.profprokat.ru/content/view/396/72/" TargetMode="External" /><Relationship Id="rId254" Type="http://schemas.openxmlformats.org/officeDocument/2006/relationships/hyperlink" Target="http://www.profprokat.ru/content/view/442/72/" TargetMode="External" /><Relationship Id="rId255" Type="http://schemas.openxmlformats.org/officeDocument/2006/relationships/hyperlink" Target="http://www.profprokat.ru/content/view/1304/75/" TargetMode="External" /><Relationship Id="rId256" Type="http://schemas.openxmlformats.org/officeDocument/2006/relationships/hyperlink" Target="http://www.profprokat.ru/content/view/1288/75/" TargetMode="External" /><Relationship Id="rId257" Type="http://schemas.openxmlformats.org/officeDocument/2006/relationships/hyperlink" Target="http://www.profprokat.ru/content/view/1288/75/" TargetMode="External" /><Relationship Id="rId258" Type="http://schemas.openxmlformats.org/officeDocument/2006/relationships/hyperlink" Target="http://www.profprokat.ru/content/view/768/76/" TargetMode="External" /><Relationship Id="rId259" Type="http://schemas.openxmlformats.org/officeDocument/2006/relationships/hyperlink" Target="http://www.profprokat.ru/content/view/754/76/" TargetMode="External" /><Relationship Id="rId260" Type="http://schemas.openxmlformats.org/officeDocument/2006/relationships/hyperlink" Target="http://www.profprokat.ru/content/view/754/76/" TargetMode="External" /><Relationship Id="rId261" Type="http://schemas.openxmlformats.org/officeDocument/2006/relationships/hyperlink" Target="http://www.profprokat.ru/content/view/754/76/" TargetMode="External" /><Relationship Id="rId262" Type="http://schemas.openxmlformats.org/officeDocument/2006/relationships/hyperlink" Target="http://www.profprokat.ru/content/view/754/76/" TargetMode="External" /><Relationship Id="rId263" Type="http://schemas.openxmlformats.org/officeDocument/2006/relationships/hyperlink" Target="http://www.profprokat.ru/content/view/754/76/" TargetMode="External" /><Relationship Id="rId264" Type="http://schemas.openxmlformats.org/officeDocument/2006/relationships/hyperlink" Target="http://www.profprokat.ru/content/view/754/76/" TargetMode="External" /><Relationship Id="rId265" Type="http://schemas.openxmlformats.org/officeDocument/2006/relationships/hyperlink" Target="http://www.profprokat.ru/content/view/754/76/" TargetMode="External" /><Relationship Id="rId266" Type="http://schemas.openxmlformats.org/officeDocument/2006/relationships/hyperlink" Target="http://www.profprokat.ru/content/view/754/76/" TargetMode="External" /><Relationship Id="rId267" Type="http://schemas.openxmlformats.org/officeDocument/2006/relationships/hyperlink" Target="http://www.profprokat.ru/content/view/754/76/" TargetMode="External" /><Relationship Id="rId268" Type="http://schemas.openxmlformats.org/officeDocument/2006/relationships/hyperlink" Target="http://www.profprokat.ru/content/view/754/76/" TargetMode="External" /><Relationship Id="rId269" Type="http://schemas.openxmlformats.org/officeDocument/2006/relationships/hyperlink" Target="http://www.profprokat.ru/content/view/754/76/" TargetMode="External" /><Relationship Id="rId270" Type="http://schemas.openxmlformats.org/officeDocument/2006/relationships/hyperlink" Target="http://www.profprokat.ru/content/view/742/76/" TargetMode="External" /><Relationship Id="rId271" Type="http://schemas.openxmlformats.org/officeDocument/2006/relationships/hyperlink" Target="http://www.profprokat.ru/content/view/742/76/" TargetMode="External" /><Relationship Id="rId272" Type="http://schemas.openxmlformats.org/officeDocument/2006/relationships/hyperlink" Target="http://www.profprokat.ru/content/view/742/76/" TargetMode="External" /><Relationship Id="rId273" Type="http://schemas.openxmlformats.org/officeDocument/2006/relationships/hyperlink" Target="http://www.profprokat.ru/content/view/742/76/" TargetMode="External" /><Relationship Id="rId274" Type="http://schemas.openxmlformats.org/officeDocument/2006/relationships/hyperlink" Target="http://www.profprokat.ru/content/view/742/76/" TargetMode="External" /><Relationship Id="rId275" Type="http://schemas.openxmlformats.org/officeDocument/2006/relationships/hyperlink" Target="http://www.profprokat.ru/content/view/742/76/" TargetMode="External" /><Relationship Id="rId276" Type="http://schemas.openxmlformats.org/officeDocument/2006/relationships/hyperlink" Target="http://www.profprokat.ru/content/view/694/75/" TargetMode="External" /><Relationship Id="rId277" Type="http://schemas.openxmlformats.org/officeDocument/2006/relationships/hyperlink" Target="http://www.profprokat.ru/content/view/694/75/" TargetMode="External" /><Relationship Id="rId278" Type="http://schemas.openxmlformats.org/officeDocument/2006/relationships/hyperlink" Target="http://www.profprokat.ru/content/view/694/75/" TargetMode="External" /><Relationship Id="rId279" Type="http://schemas.openxmlformats.org/officeDocument/2006/relationships/hyperlink" Target="http://www.profprokat.ru/content/view/694/75/" TargetMode="External" /><Relationship Id="rId280" Type="http://schemas.openxmlformats.org/officeDocument/2006/relationships/hyperlink" Target="http://www.profprokat.ru/content/view/694/75/" TargetMode="External" /><Relationship Id="rId281" Type="http://schemas.openxmlformats.org/officeDocument/2006/relationships/hyperlink" Target="http://www.profprokat.ru/content/view/694/75/" TargetMode="External" /><Relationship Id="rId282" Type="http://schemas.openxmlformats.org/officeDocument/2006/relationships/hyperlink" Target="http://www.profprokat.ru/content/view/694/75/" TargetMode="External" /><Relationship Id="rId283" Type="http://schemas.openxmlformats.org/officeDocument/2006/relationships/hyperlink" Target="http://www.profprokat.ru/content/view/694/75/" TargetMode="External" /><Relationship Id="rId284" Type="http://schemas.openxmlformats.org/officeDocument/2006/relationships/hyperlink" Target="http://www.profprokat.ru/content/view/693/75/" TargetMode="External" /><Relationship Id="rId285" Type="http://schemas.openxmlformats.org/officeDocument/2006/relationships/hyperlink" Target="http://www.profprokat.ru/content/view/693/75/" TargetMode="External" /><Relationship Id="rId286" Type="http://schemas.openxmlformats.org/officeDocument/2006/relationships/hyperlink" Target="http://www.profprokat.ru/content/view/693/75/" TargetMode="External" /><Relationship Id="rId287" Type="http://schemas.openxmlformats.org/officeDocument/2006/relationships/hyperlink" Target="http://www.profprokat.ru/content/view/693/75/" TargetMode="External" /><Relationship Id="rId288" Type="http://schemas.openxmlformats.org/officeDocument/2006/relationships/hyperlink" Target="http://www.profprokat.ru/content/view/693/75/" TargetMode="External" /><Relationship Id="rId289" Type="http://schemas.openxmlformats.org/officeDocument/2006/relationships/hyperlink" Target="http://www.profprokat.ru/content/view/648/75/" TargetMode="External" /><Relationship Id="rId290" Type="http://schemas.openxmlformats.org/officeDocument/2006/relationships/hyperlink" Target="http://www.profprokat.ru/content/view/293/8/" TargetMode="External" /><Relationship Id="rId291" Type="http://schemas.openxmlformats.org/officeDocument/2006/relationships/hyperlink" Target="http://www.profprokat.ru/content/view/678/75/" TargetMode="External" /><Relationship Id="rId292" Type="http://schemas.openxmlformats.org/officeDocument/2006/relationships/hyperlink" Target="http://www.profprokat.ru/content/view/678/75/" TargetMode="External" /><Relationship Id="rId293" Type="http://schemas.openxmlformats.org/officeDocument/2006/relationships/hyperlink" Target="http://www.profprokat.ru/content/view/678/75/" TargetMode="External" /><Relationship Id="rId294" Type="http://schemas.openxmlformats.org/officeDocument/2006/relationships/hyperlink" Target="http://www.profprokat.ru/content/view/678/75/" TargetMode="External" /><Relationship Id="rId295" Type="http://schemas.openxmlformats.org/officeDocument/2006/relationships/hyperlink" Target="http://www.profprokat.ru/content/view/678/75/" TargetMode="External" /><Relationship Id="rId296" Type="http://schemas.openxmlformats.org/officeDocument/2006/relationships/hyperlink" Target="http://www.profprokat.ru/content/view/678/75/" TargetMode="External" /><Relationship Id="rId297" Type="http://schemas.openxmlformats.org/officeDocument/2006/relationships/hyperlink" Target="http://www.profprokat.ru/content/view/678/75/" TargetMode="External" /><Relationship Id="rId298" Type="http://schemas.openxmlformats.org/officeDocument/2006/relationships/hyperlink" Target="http://www.profprokat.ru/content/view/678/75/" TargetMode="External" /><Relationship Id="rId299" Type="http://schemas.openxmlformats.org/officeDocument/2006/relationships/hyperlink" Target="http://www.profprokat.ru/content/view/769/76/" TargetMode="External" /><Relationship Id="rId300" Type="http://schemas.openxmlformats.org/officeDocument/2006/relationships/hyperlink" Target="http://www.profprokat.ru/content/view/769/76/" TargetMode="External" /><Relationship Id="rId301" Type="http://schemas.openxmlformats.org/officeDocument/2006/relationships/hyperlink" Target="http://www.profprokat.ru/content/view/769/76/" TargetMode="External" /><Relationship Id="rId302" Type="http://schemas.openxmlformats.org/officeDocument/2006/relationships/hyperlink" Target="http://www.profprokat.ru/content/view/769/76/" TargetMode="External" /><Relationship Id="rId303" Type="http://schemas.openxmlformats.org/officeDocument/2006/relationships/hyperlink" Target="http://www.profprokat.ru/content/view/769/76/" TargetMode="External" /><Relationship Id="rId304" Type="http://schemas.openxmlformats.org/officeDocument/2006/relationships/hyperlink" Target="http://www.profprokat.ru/content/view/769/76/" TargetMode="External" /><Relationship Id="rId305" Type="http://schemas.openxmlformats.org/officeDocument/2006/relationships/hyperlink" Target="http://www.profprokat.ru/content/view/769/76/" TargetMode="External" /><Relationship Id="rId306" Type="http://schemas.openxmlformats.org/officeDocument/2006/relationships/hyperlink" Target="http://www.profprokat.ru/content/view/769/76/" TargetMode="External" /><Relationship Id="rId307" Type="http://schemas.openxmlformats.org/officeDocument/2006/relationships/hyperlink" Target="http://www.profprokat.ru/content/view/769/76/" TargetMode="External" /><Relationship Id="rId308" Type="http://schemas.openxmlformats.org/officeDocument/2006/relationships/hyperlink" Target="http://www.profprokat.ru/content/view/769/76/" TargetMode="External" /><Relationship Id="rId309" Type="http://schemas.openxmlformats.org/officeDocument/2006/relationships/hyperlink" Target="http://www.profprokat.ru/content/view/769/76/" TargetMode="External" /><Relationship Id="rId310" Type="http://schemas.openxmlformats.org/officeDocument/2006/relationships/hyperlink" Target="http://www.profprokat.ru/content/view/769/76/" TargetMode="External" /><Relationship Id="rId311" Type="http://schemas.openxmlformats.org/officeDocument/2006/relationships/hyperlink" Target="http://www.profprokat.ru/content/view/769/76/" TargetMode="External" /><Relationship Id="rId312" Type="http://schemas.openxmlformats.org/officeDocument/2006/relationships/hyperlink" Target="http://www.profprokat.ru/content/view/769/76/" TargetMode="External" /><Relationship Id="rId313" Type="http://schemas.openxmlformats.org/officeDocument/2006/relationships/hyperlink" Target="http://www.profprokat.ru/content/view/769/76/" TargetMode="External" /><Relationship Id="rId314" Type="http://schemas.openxmlformats.org/officeDocument/2006/relationships/hyperlink" Target="http://www.profprokat.ru/content/view/769/76/" TargetMode="External" /><Relationship Id="rId315" Type="http://schemas.openxmlformats.org/officeDocument/2006/relationships/hyperlink" Target="http://www.profprokat.ru/content/view/769/76/" TargetMode="External" /><Relationship Id="rId316" Type="http://schemas.openxmlformats.org/officeDocument/2006/relationships/hyperlink" Target="http://www.profprokat.ru/content/view/769/76/" TargetMode="External" /><Relationship Id="rId317" Type="http://schemas.openxmlformats.org/officeDocument/2006/relationships/hyperlink" Target="http://www.profprokat.ru/content/view/769/76/" TargetMode="External" /><Relationship Id="rId318" Type="http://schemas.openxmlformats.org/officeDocument/2006/relationships/hyperlink" Target="http://www.profprokat.ru/content/view/769/76/" TargetMode="External" /><Relationship Id="rId319" Type="http://schemas.openxmlformats.org/officeDocument/2006/relationships/hyperlink" Target="http://www.profprokat.ru/content/view/769/76/" TargetMode="External" /><Relationship Id="rId320" Type="http://schemas.openxmlformats.org/officeDocument/2006/relationships/hyperlink" Target="http://www.profprokat.ru/content/view/769/76/" TargetMode="External" /><Relationship Id="rId321" Type="http://schemas.openxmlformats.org/officeDocument/2006/relationships/hyperlink" Target="http://www.profprokat.ru/content/view/769/76/" TargetMode="External" /><Relationship Id="rId322" Type="http://schemas.openxmlformats.org/officeDocument/2006/relationships/hyperlink" Target="http://www.profprokat.ru/content/view/769/76/" TargetMode="External" /><Relationship Id="rId323" Type="http://schemas.openxmlformats.org/officeDocument/2006/relationships/hyperlink" Target="http://www.profprokat.ru/content/view/769/76/" TargetMode="External" /><Relationship Id="rId324" Type="http://schemas.openxmlformats.org/officeDocument/2006/relationships/hyperlink" Target="http://www.profprokat.ru/content/view/769/76/" TargetMode="External" /><Relationship Id="rId325" Type="http://schemas.openxmlformats.org/officeDocument/2006/relationships/hyperlink" Target="http://www.profprokat.ru/content/view/769/76/" TargetMode="External" /><Relationship Id="rId326" Type="http://schemas.openxmlformats.org/officeDocument/2006/relationships/hyperlink" Target="http://www.profprokat.ru/content/view/769/76/" TargetMode="External" /><Relationship Id="rId327" Type="http://schemas.openxmlformats.org/officeDocument/2006/relationships/hyperlink" Target="http://www.profprokat.ru/content/view/769/76/" TargetMode="External" /><Relationship Id="rId328" Type="http://schemas.openxmlformats.org/officeDocument/2006/relationships/hyperlink" Target="http://www.profprokat.ru/content/view/731/76/" TargetMode="External" /><Relationship Id="rId329" Type="http://schemas.openxmlformats.org/officeDocument/2006/relationships/hyperlink" Target="http://www.profprokat.ru/content/view/731/76/" TargetMode="External" /><Relationship Id="rId330" Type="http://schemas.openxmlformats.org/officeDocument/2006/relationships/hyperlink" Target="http://www.profprokat.ru/content/view/731/76/" TargetMode="External" /><Relationship Id="rId331" Type="http://schemas.openxmlformats.org/officeDocument/2006/relationships/hyperlink" Target="http://www.profprokat.ru/content/view/731/76/" TargetMode="External" /><Relationship Id="rId332" Type="http://schemas.openxmlformats.org/officeDocument/2006/relationships/hyperlink" Target="http://www.profprokat.ru/content/view/731/76/" TargetMode="External" /><Relationship Id="rId333" Type="http://schemas.openxmlformats.org/officeDocument/2006/relationships/hyperlink" Target="http://www.profprokat.ru/content/view/731/76/" TargetMode="External" /><Relationship Id="rId334" Type="http://schemas.openxmlformats.org/officeDocument/2006/relationships/hyperlink" Target="http://www.profprokat.ru/content/view/731/76/" TargetMode="External" /><Relationship Id="rId335" Type="http://schemas.openxmlformats.org/officeDocument/2006/relationships/hyperlink" Target="http://www.profprokat.ru/content/view/731/76/" TargetMode="External" /><Relationship Id="rId336" Type="http://schemas.openxmlformats.org/officeDocument/2006/relationships/hyperlink" Target="http://www.profprokat.ru/content/view/731/76/" TargetMode="External" /><Relationship Id="rId337" Type="http://schemas.openxmlformats.org/officeDocument/2006/relationships/hyperlink" Target="http://www.profprokat.ru/content/view/731/76/" TargetMode="External" /><Relationship Id="rId338" Type="http://schemas.openxmlformats.org/officeDocument/2006/relationships/hyperlink" Target="http://www.profprokat.ru/content/view/731/76/" TargetMode="External" /><Relationship Id="rId339" Type="http://schemas.openxmlformats.org/officeDocument/2006/relationships/hyperlink" Target="http://www.profprokat.ru/content/view/731/76/" TargetMode="External" /><Relationship Id="rId340" Type="http://schemas.openxmlformats.org/officeDocument/2006/relationships/hyperlink" Target="http://www.profprokat.ru/content/view/664/75/" TargetMode="External" /><Relationship Id="rId341" Type="http://schemas.openxmlformats.org/officeDocument/2006/relationships/hyperlink" Target="http://www.profprokat.ru/content/view/664/75/" TargetMode="External" /><Relationship Id="rId342" Type="http://schemas.openxmlformats.org/officeDocument/2006/relationships/hyperlink" Target="http://www.profprokat.ru/content/view/664/75/" TargetMode="External" /><Relationship Id="rId343" Type="http://schemas.openxmlformats.org/officeDocument/2006/relationships/hyperlink" Target="http://www.profprokat.ru/content/view/664/75/" TargetMode="External" /><Relationship Id="rId344" Type="http://schemas.openxmlformats.org/officeDocument/2006/relationships/hyperlink" Target="http://www.profprokat.ru/content/view/664/75/" TargetMode="External" /><Relationship Id="rId345" Type="http://schemas.openxmlformats.org/officeDocument/2006/relationships/hyperlink" Target="http://www.profprokat.ru/content/view/664/75/" TargetMode="External" /><Relationship Id="rId346" Type="http://schemas.openxmlformats.org/officeDocument/2006/relationships/hyperlink" Target="http://www.profprokat.ru/content/view/664/75/" TargetMode="External" /><Relationship Id="rId347" Type="http://schemas.openxmlformats.org/officeDocument/2006/relationships/hyperlink" Target="http://www.profprokat.ru/content/view/727/76/" TargetMode="External" /><Relationship Id="rId348" Type="http://schemas.openxmlformats.org/officeDocument/2006/relationships/hyperlink" Target="http://www.profprokat.ru/content/view/727/76/" TargetMode="External" /><Relationship Id="rId349" Type="http://schemas.openxmlformats.org/officeDocument/2006/relationships/hyperlink" Target="http://www.profprokat.ru/content/view/727/76/" TargetMode="External" /><Relationship Id="rId350" Type="http://schemas.openxmlformats.org/officeDocument/2006/relationships/hyperlink" Target="http://www.profprokat.ru/content/view/727/76/" TargetMode="External" /><Relationship Id="rId351" Type="http://schemas.openxmlformats.org/officeDocument/2006/relationships/hyperlink" Target="http://www.profprokat.ru/content/view/727/76/" TargetMode="External" /><Relationship Id="rId352" Type="http://schemas.openxmlformats.org/officeDocument/2006/relationships/hyperlink" Target="http://www.profprokat.ru/content/view/727/76/" TargetMode="External" /><Relationship Id="rId353" Type="http://schemas.openxmlformats.org/officeDocument/2006/relationships/hyperlink" Target="http://www.profprokat.ru/content/view/727/76/" TargetMode="External" /><Relationship Id="rId354" Type="http://schemas.openxmlformats.org/officeDocument/2006/relationships/hyperlink" Target="http://www.profprokat.ru/content/view/727/76/" TargetMode="External" /><Relationship Id="rId355" Type="http://schemas.openxmlformats.org/officeDocument/2006/relationships/hyperlink" Target="http://www.profprokat.ru/content/view/727/76/" TargetMode="External" /><Relationship Id="rId356" Type="http://schemas.openxmlformats.org/officeDocument/2006/relationships/hyperlink" Target="http://www.profprokat.ru/content/view/727/76/" TargetMode="External" /><Relationship Id="rId357" Type="http://schemas.openxmlformats.org/officeDocument/2006/relationships/hyperlink" Target="http://www.profprokat.ru/content/view/654/75/" TargetMode="External" /><Relationship Id="rId358" Type="http://schemas.openxmlformats.org/officeDocument/2006/relationships/hyperlink" Target="http://www.profprokat.ru/content/view/654/75/" TargetMode="External" /><Relationship Id="rId359" Type="http://schemas.openxmlformats.org/officeDocument/2006/relationships/hyperlink" Target="http://www.profprokat.ru/content/view/654/75/" TargetMode="External" /><Relationship Id="rId360" Type="http://schemas.openxmlformats.org/officeDocument/2006/relationships/hyperlink" Target="http://www.profprokat.ru/content/view/878/74/" TargetMode="External" /><Relationship Id="rId361" Type="http://schemas.openxmlformats.org/officeDocument/2006/relationships/hyperlink" Target="http://www.profprokat.ru/content/view/490/72/" TargetMode="External" /><Relationship Id="rId362" Type="http://schemas.openxmlformats.org/officeDocument/2006/relationships/hyperlink" Target="http://www.profprokat.ru/content/view/877/74/" TargetMode="External" /><Relationship Id="rId363" Type="http://schemas.openxmlformats.org/officeDocument/2006/relationships/hyperlink" Target="http://www.profprokat.ru/content/view/1315/76/" TargetMode="External" /><Relationship Id="rId364" Type="http://schemas.openxmlformats.org/officeDocument/2006/relationships/hyperlink" Target="http://www.profprokat.ru/content/view/1315/76/" TargetMode="External" /><Relationship Id="rId365" Type="http://schemas.openxmlformats.org/officeDocument/2006/relationships/hyperlink" Target="http://www.profprokat.ru/content/view/664/75/" TargetMode="External" /><Relationship Id="rId366" Type="http://schemas.openxmlformats.org/officeDocument/2006/relationships/hyperlink" Target="http://www.profprokat.ru/content/view/167/52/" TargetMode="External" /><Relationship Id="rId367" Type="http://schemas.openxmlformats.org/officeDocument/2006/relationships/hyperlink" Target="http://www.profprokat.ru/content/view/769/76/" TargetMode="External" /><Relationship Id="rId368" Type="http://schemas.openxmlformats.org/officeDocument/2006/relationships/hyperlink" Target="http://www.profprokat.ru/content/view/241/8/" TargetMode="External" /><Relationship Id="rId369" Type="http://schemas.openxmlformats.org/officeDocument/2006/relationships/hyperlink" Target="http://www.profprokat.ru/content/view/731/76/" TargetMode="External" /><Relationship Id="rId370" Type="http://schemas.openxmlformats.org/officeDocument/2006/relationships/hyperlink" Target="http://www.profprokat.ru/content/view/471/72/" TargetMode="External" /><Relationship Id="rId371" Type="http://schemas.openxmlformats.org/officeDocument/2006/relationships/hyperlink" Target="http://www.profprokat.ru/content/view/742/76/" TargetMode="External" /><Relationship Id="rId372" Type="http://schemas.openxmlformats.org/officeDocument/2006/relationships/hyperlink" Target="http://www.profprokat.ru/content/view/742/76/" TargetMode="External" /><Relationship Id="rId373" Type="http://schemas.openxmlformats.org/officeDocument/2006/relationships/hyperlink" Target="http://www.profprokat.ru/content/view/1321/76/" TargetMode="External" /><Relationship Id="rId374" Type="http://schemas.openxmlformats.org/officeDocument/2006/relationships/hyperlink" Target="http://www.profprokat.ru/content/view/455/72/" TargetMode="External" /><Relationship Id="rId375" Type="http://schemas.openxmlformats.org/officeDocument/2006/relationships/hyperlink" Target="http://www.profprokat.ru/content/view/754/76/" TargetMode="External" /><Relationship Id="rId376" Type="http://schemas.openxmlformats.org/officeDocument/2006/relationships/hyperlink" Target="http://www.profprokat.ru/content/view/729/76/" TargetMode="External" /><Relationship Id="rId377" Type="http://schemas.openxmlformats.org/officeDocument/2006/relationships/hyperlink" Target="http://www.profprokat.ru/content/view/1323/8/" TargetMode="External" /><Relationship Id="rId378" Type="http://schemas.openxmlformats.org/officeDocument/2006/relationships/hyperlink" Target="http://www.profprokat.ru/content/view/167/52/" TargetMode="External" /><Relationship Id="rId379" Type="http://schemas.openxmlformats.org/officeDocument/2006/relationships/hyperlink" Target="http://www.profprokat.ru/content/view/769/76/" TargetMode="External" /><Relationship Id="rId380" Type="http://schemas.openxmlformats.org/officeDocument/2006/relationships/hyperlink" Target="http://www.profprokat.ru/content/view/347/8/" TargetMode="External" /><Relationship Id="rId381" Type="http://schemas.openxmlformats.org/officeDocument/2006/relationships/hyperlink" Target="http://www.profprokat.ru/content/view/181/52/" TargetMode="External" /><Relationship Id="rId382" Type="http://schemas.openxmlformats.org/officeDocument/2006/relationships/hyperlink" Target="http://www.profprokat.ru/content/view/1331/76/" TargetMode="External" /><Relationship Id="rId383" Type="http://schemas.openxmlformats.org/officeDocument/2006/relationships/hyperlink" Target="http://www.profprokat.ru/content/view/1304/75/" TargetMode="External" /><Relationship Id="rId384" Type="http://schemas.openxmlformats.org/officeDocument/2006/relationships/hyperlink" Target="http://www.profprokat.ru/content/view/181/52/" TargetMode="External" /><Relationship Id="rId385" Type="http://schemas.openxmlformats.org/officeDocument/2006/relationships/hyperlink" Target="http://www.profprokat.ru/content/view/208/8/" TargetMode="External" /><Relationship Id="rId386" Type="http://schemas.openxmlformats.org/officeDocument/2006/relationships/hyperlink" Target="http://www.profprokat.ru/content/view/769/76/" TargetMode="External" /><Relationship Id="rId387" Type="http://schemas.openxmlformats.org/officeDocument/2006/relationships/hyperlink" Target="http://www.profprokat.ru/content/view/473/72/" TargetMode="External" /><Relationship Id="rId388" Type="http://schemas.openxmlformats.org/officeDocument/2006/relationships/hyperlink" Target="http://www.profprokat.ru/content/view/396/72/" TargetMode="External" /><Relationship Id="rId389" Type="http://schemas.openxmlformats.org/officeDocument/2006/relationships/hyperlink" Target="http://www.profprokat.ru/content/view/769/76/" TargetMode="External" /><Relationship Id="rId390" Type="http://schemas.openxmlformats.org/officeDocument/2006/relationships/hyperlink" Target="http://www.profprokat.ru/content/view/443/72/" TargetMode="External" /><Relationship Id="rId391" Type="http://schemas.openxmlformats.org/officeDocument/2006/relationships/hyperlink" Target="http://www.profprokat.ru/content/view/1300/76/" TargetMode="External" /><Relationship Id="rId392" Type="http://schemas.openxmlformats.org/officeDocument/2006/relationships/hyperlink" Target="http://www.profprokat.ru/content/view/754/76/" TargetMode="External" /><Relationship Id="rId393" Type="http://schemas.openxmlformats.org/officeDocument/2006/relationships/hyperlink" Target="http://www.profprokat.ru/content/view/403/72/" TargetMode="External" /><Relationship Id="rId394" Type="http://schemas.openxmlformats.org/officeDocument/2006/relationships/hyperlink" Target="http://www.profprokat.ru/content/view/731/76/" TargetMode="External" /><Relationship Id="rId395" Type="http://schemas.openxmlformats.org/officeDocument/2006/relationships/hyperlink" Target="http://www.profprokat.ru/content/view/769/76/" TargetMode="External" /><Relationship Id="rId396" Type="http://schemas.openxmlformats.org/officeDocument/2006/relationships/hyperlink" Target="http://www.profprokat.ru/content/view/1304/75/" TargetMode="External" /><Relationship Id="rId397" Type="http://schemas.openxmlformats.org/officeDocument/2006/relationships/hyperlink" Target="http://www.profprokat.ru/content/view/769/76/" TargetMode="External" /><Relationship Id="rId398" Type="http://schemas.openxmlformats.org/officeDocument/2006/relationships/hyperlink" Target="http://www.profprokat.ru/content/view/490/72/" TargetMode="External" /><Relationship Id="rId399" Type="http://schemas.openxmlformats.org/officeDocument/2006/relationships/hyperlink" Target="http://www.profprokat.ru/content/view/167/52/" TargetMode="External" /><Relationship Id="rId400" Type="http://schemas.openxmlformats.org/officeDocument/2006/relationships/hyperlink" Target="http://www.profprokat.ru/content/view/1304/75/" TargetMode="External" /><Relationship Id="rId401" Type="http://schemas.openxmlformats.org/officeDocument/2006/relationships/hyperlink" Target="http://www.profprokat.ru/content/view/181/52/" TargetMode="External" /><Relationship Id="rId402" Type="http://schemas.openxmlformats.org/officeDocument/2006/relationships/hyperlink" Target="http://www.profprokat.ru/content/view/766/76/" TargetMode="External" /><Relationship Id="rId403" Type="http://schemas.openxmlformats.org/officeDocument/2006/relationships/hyperlink" Target="http://www.profprokat.ru/content/view/766/76/" TargetMode="External" /><Relationship Id="rId404" Type="http://schemas.openxmlformats.org/officeDocument/2006/relationships/hyperlink" Target="http://www.profprokat.ru/content/view/443/72/" TargetMode="External" /><Relationship Id="rId405" Type="http://schemas.openxmlformats.org/officeDocument/2006/relationships/hyperlink" Target="http://www.profprokat.ru/content/view/276/8/" TargetMode="External" /><Relationship Id="rId406" Type="http://schemas.openxmlformats.org/officeDocument/2006/relationships/hyperlink" Target="http://www.profprokat.ru/content/view/277/8/" TargetMode="External" /><Relationship Id="rId407" Type="http://schemas.openxmlformats.org/officeDocument/2006/relationships/hyperlink" Target="http://www.profprokat.ru/content/view/277/8/" TargetMode="External" /><Relationship Id="rId408" Type="http://schemas.openxmlformats.org/officeDocument/2006/relationships/hyperlink" Target="http://www.profprokat.ru/content/view/754/76/" TargetMode="External" /><Relationship Id="rId409" Type="http://schemas.openxmlformats.org/officeDocument/2006/relationships/hyperlink" Target="http://www.profprokat.ru/content/view/1304/75/" TargetMode="External" /><Relationship Id="rId410" Type="http://schemas.openxmlformats.org/officeDocument/2006/relationships/hyperlink" Target="http://www.profprokat.ru/content/view/692/75/" TargetMode="External" /><Relationship Id="rId411" Type="http://schemas.openxmlformats.org/officeDocument/2006/relationships/hyperlink" Target="http://www.profprokat.ru/content/view/678/75/" TargetMode="External" /><Relationship Id="rId412" Type="http://schemas.openxmlformats.org/officeDocument/2006/relationships/hyperlink" Target="http://www.profprokat.ru/content/view/1305/75/" TargetMode="External" /><Relationship Id="rId413" Type="http://schemas.openxmlformats.org/officeDocument/2006/relationships/hyperlink" Target="http://www.profprokat.ru/content/view/692/75/" TargetMode="External" /><Relationship Id="rId414" Type="http://schemas.openxmlformats.org/officeDocument/2006/relationships/hyperlink" Target="http://www.profprokat.ru/content/view/678/75/" TargetMode="External" /><Relationship Id="rId415" Type="http://schemas.openxmlformats.org/officeDocument/2006/relationships/hyperlink" Target="http://www.profprokat.ru/content/view/678/75/" TargetMode="External" /><Relationship Id="rId416" Type="http://schemas.openxmlformats.org/officeDocument/2006/relationships/hyperlink" Target="http://www.profprokat.ru/content/view/678/75/" TargetMode="External" /><Relationship Id="rId417" Type="http://schemas.openxmlformats.org/officeDocument/2006/relationships/hyperlink" Target="http://www.profprokat.ru/content/view/678/75/" TargetMode="External" /><Relationship Id="rId418" Type="http://schemas.openxmlformats.org/officeDocument/2006/relationships/hyperlink" Target="http://www.profprokat.ru/content/view/678/75/" TargetMode="External" /><Relationship Id="rId419" Type="http://schemas.openxmlformats.org/officeDocument/2006/relationships/hyperlink" Target="http://www.profprokat.ru/content/view/167/52/" TargetMode="External" /><Relationship Id="rId420" Type="http://schemas.openxmlformats.org/officeDocument/2006/relationships/hyperlink" Target="http://www.profprokat.ru/content/view/1288/75/" TargetMode="External" /><Relationship Id="rId421" Type="http://schemas.openxmlformats.org/officeDocument/2006/relationships/hyperlink" Target="http://www.profprokat.ru/content/view/1288/75/" TargetMode="External" /><Relationship Id="rId422" Type="http://schemas.openxmlformats.org/officeDocument/2006/relationships/hyperlink" Target="http://www.profprokat.ru/content/view/1288/75/" TargetMode="External" /><Relationship Id="rId423" Type="http://schemas.openxmlformats.org/officeDocument/2006/relationships/hyperlink" Target="http://www.profprokat.ru/content/view/443/72/" TargetMode="External" /><Relationship Id="rId424" Type="http://schemas.openxmlformats.org/officeDocument/2006/relationships/hyperlink" Target="http://www.profprokat.ru/content/view/483/72/" TargetMode="External" /><Relationship Id="rId425" Type="http://schemas.openxmlformats.org/officeDocument/2006/relationships/hyperlink" Target="http://www.profprokat.ru/content/view/877/74/" TargetMode="External" /><Relationship Id="rId426" Type="http://schemas.openxmlformats.org/officeDocument/2006/relationships/hyperlink" Target="http://www.profprokat.ru/content/view/769/76/" TargetMode="External" /><Relationship Id="rId427" Type="http://schemas.openxmlformats.org/officeDocument/2006/relationships/hyperlink" Target="http://www.profprokat.ru/content/view/242/8/" TargetMode="External" /><Relationship Id="rId428" Type="http://schemas.openxmlformats.org/officeDocument/2006/relationships/hyperlink" Target="http://www.profprokat.ru/content/view/1304/75/" TargetMode="External" /><Relationship Id="rId429" Type="http://schemas.openxmlformats.org/officeDocument/2006/relationships/hyperlink" Target="http://www.profprokat.ru/content/view/1304/75/" TargetMode="External" /><Relationship Id="rId430" Type="http://schemas.openxmlformats.org/officeDocument/2006/relationships/hyperlink" Target="http://www.profprokat.ru/content/view/1304/75/" TargetMode="External" /><Relationship Id="rId431" Type="http://schemas.openxmlformats.org/officeDocument/2006/relationships/hyperlink" Target="http://www.profprokat.ru/content/view/769/76/" TargetMode="External" /><Relationship Id="rId432" Type="http://schemas.openxmlformats.org/officeDocument/2006/relationships/hyperlink" Target="http://www.profprokat.ru/content/view/769/76/" TargetMode="External" /><Relationship Id="rId433" Type="http://schemas.openxmlformats.org/officeDocument/2006/relationships/hyperlink" Target="http://www.profprokat.ru/content/view/1288/75/" TargetMode="External" /><Relationship Id="rId434" Type="http://schemas.openxmlformats.org/officeDocument/2006/relationships/hyperlink" Target="http://www.profprokat.ru/content/view/1288/75/" TargetMode="External" /><Relationship Id="rId435" Type="http://schemas.openxmlformats.org/officeDocument/2006/relationships/hyperlink" Target="http://www.profprokat.ru/content/view/658/75/" TargetMode="External" /><Relationship Id="rId436" Type="http://schemas.openxmlformats.org/officeDocument/2006/relationships/hyperlink" Target="http://www.profprokat.ru/content/view/770/76/" TargetMode="External" /><Relationship Id="rId437" Type="http://schemas.openxmlformats.org/officeDocument/2006/relationships/hyperlink" Target="http://www.profprokat.ru/content/view/181/52/" TargetMode="External" /><Relationship Id="rId438" Type="http://schemas.openxmlformats.org/officeDocument/2006/relationships/hyperlink" Target="http://www.profprokat.ru/content/view/725/76/" TargetMode="External" /><Relationship Id="rId439" Type="http://schemas.openxmlformats.org/officeDocument/2006/relationships/hyperlink" Target="http://www.profprokat.ru/content/view/725/76/" TargetMode="External" /><Relationship Id="rId440" Type="http://schemas.openxmlformats.org/officeDocument/2006/relationships/hyperlink" Target="http://www.profprokat.ru/content/view/1304/75/" TargetMode="External" /><Relationship Id="rId441" Type="http://schemas.openxmlformats.org/officeDocument/2006/relationships/hyperlink" Target="http://www.profprokat.ru/content/view/1304/75/" TargetMode="External" /><Relationship Id="rId442" Type="http://schemas.openxmlformats.org/officeDocument/2006/relationships/hyperlink" Target="http://www.profprokat.ru/content/view/1304/75/" TargetMode="External" /><Relationship Id="rId443" Type="http://schemas.openxmlformats.org/officeDocument/2006/relationships/hyperlink" Target="http://www.profprokat.ru/content/view/1304/75/" TargetMode="External" /><Relationship Id="rId444" Type="http://schemas.openxmlformats.org/officeDocument/2006/relationships/hyperlink" Target="http://www.profprokat.ru/content/view/1304/75/" TargetMode="External" /><Relationship Id="rId445" Type="http://schemas.openxmlformats.org/officeDocument/2006/relationships/hyperlink" Target="http://www.profprokat.ru/content/view/766/76/" TargetMode="External" /><Relationship Id="rId446" Type="http://schemas.openxmlformats.org/officeDocument/2006/relationships/hyperlink" Target="http://www.profprokat.ru/content/view/443/72/" TargetMode="External" /><Relationship Id="rId447" Type="http://schemas.openxmlformats.org/officeDocument/2006/relationships/hyperlink" Target="http://www.profprokat.ru/content/view/242/8/" TargetMode="External" /><Relationship Id="rId448" Type="http://schemas.openxmlformats.org/officeDocument/2006/relationships/hyperlink" Target="http://www.profprokat.ru/content/view/769/76/" TargetMode="External" /><Relationship Id="rId449" Type="http://schemas.openxmlformats.org/officeDocument/2006/relationships/hyperlink" Target="http://www.profprokat.ru/content/view/381/72/" TargetMode="External" /><Relationship Id="rId450" Type="http://schemas.openxmlformats.org/officeDocument/2006/relationships/hyperlink" Target="http://www.profprokat.ru/content/view/203/52/" TargetMode="External" /><Relationship Id="rId451" Type="http://schemas.openxmlformats.org/officeDocument/2006/relationships/hyperlink" Target="http://www.profprokat.ru/content/view/139/52/" TargetMode="External" /><Relationship Id="rId452" Type="http://schemas.openxmlformats.org/officeDocument/2006/relationships/hyperlink" Target="http://www.profprokat.ru/content/view/731/76/" TargetMode="External" /><Relationship Id="rId453" Type="http://schemas.openxmlformats.org/officeDocument/2006/relationships/hyperlink" Target="http://www.profprokat.ru/content/view/1300/76/" TargetMode="External" /><Relationship Id="rId454" Type="http://schemas.openxmlformats.org/officeDocument/2006/relationships/hyperlink" Target="http://www.profprokat.ru/content/view/1300/76/" TargetMode="External" /><Relationship Id="rId455" Type="http://schemas.openxmlformats.org/officeDocument/2006/relationships/hyperlink" Target="http://www.profprokat.ru/content/view/1300/76/" TargetMode="External" /><Relationship Id="rId456" Type="http://schemas.openxmlformats.org/officeDocument/2006/relationships/hyperlink" Target="http://www.profprokat.ru/content/view/1304/75/" TargetMode="External" /><Relationship Id="rId457" Type="http://schemas.openxmlformats.org/officeDocument/2006/relationships/hyperlink" Target="http://www.profprokat.ru/content/view/733/76/" TargetMode="External" /><Relationship Id="rId458" Type="http://schemas.openxmlformats.org/officeDocument/2006/relationships/hyperlink" Target="http://www.profprokat.ru/content/view/733/76/" TargetMode="External" /><Relationship Id="rId459" Type="http://schemas.openxmlformats.org/officeDocument/2006/relationships/hyperlink" Target="http://www.profprokat.ru/content/view/733/76/" TargetMode="External" /><Relationship Id="rId460" Type="http://schemas.openxmlformats.org/officeDocument/2006/relationships/hyperlink" Target="http://www.profprokat.ru/content/view/754/76/" TargetMode="External" /><Relationship Id="rId461" Type="http://schemas.openxmlformats.org/officeDocument/2006/relationships/hyperlink" Target="http://www.profprokat.ru/content/view/242/8/" TargetMode="External" /><Relationship Id="rId462" Type="http://schemas.openxmlformats.org/officeDocument/2006/relationships/hyperlink" Target="http://www.profprokat.ru/content/view/242/8/" TargetMode="External" /><Relationship Id="rId463" Type="http://schemas.openxmlformats.org/officeDocument/2006/relationships/hyperlink" Target="http://www.profprokat.ru/content/view/443/72/" TargetMode="External" /><Relationship Id="rId464" Type="http://schemas.openxmlformats.org/officeDocument/2006/relationships/hyperlink" Target="http://www.profprokat.ru/content/view/878/74/" TargetMode="External" /><Relationship Id="rId465" Type="http://schemas.openxmlformats.org/officeDocument/2006/relationships/hyperlink" Target="http://www.profprokat.ru/content/view/1320/75/" TargetMode="External" /><Relationship Id="rId466" Type="http://schemas.openxmlformats.org/officeDocument/2006/relationships/hyperlink" Target="http://www.profprokat.ru/content/view/678/75/" TargetMode="External" /><Relationship Id="rId467" Type="http://schemas.openxmlformats.org/officeDocument/2006/relationships/hyperlink" Target="http://www.profprokat.ru/content/view/1288/75/" TargetMode="External" /><Relationship Id="rId468" Type="http://schemas.openxmlformats.org/officeDocument/2006/relationships/hyperlink" Target="http://www.profprokat.ru/content/view/1315/76/" TargetMode="External" /><Relationship Id="rId469" Type="http://schemas.openxmlformats.org/officeDocument/2006/relationships/hyperlink" Target="http://www.profprokat.ru/content/view/242/8/" TargetMode="External" /><Relationship Id="rId470" Type="http://schemas.openxmlformats.org/officeDocument/2006/relationships/hyperlink" Target="http://www.profprokat.ru/content/view/1300/76/" TargetMode="External" /><Relationship Id="rId471" Type="http://schemas.openxmlformats.org/officeDocument/2006/relationships/hyperlink" Target="http://www.profprokat.ru/content/view/139/52/" TargetMode="External" /><Relationship Id="rId472" Type="http://schemas.openxmlformats.org/officeDocument/2006/relationships/hyperlink" Target="http://www.profprokat.ru/content/view/769/76/" TargetMode="External" /><Relationship Id="rId473" Type="http://schemas.openxmlformats.org/officeDocument/2006/relationships/hyperlink" Target="http://www.profprokat.ru/content/view/731/76/" TargetMode="External" /><Relationship Id="rId474" Type="http://schemas.openxmlformats.org/officeDocument/2006/relationships/hyperlink" Target="http://www.profprokat.ru/content/view/169/52/" TargetMode="External" /><Relationship Id="rId475" Type="http://schemas.openxmlformats.org/officeDocument/2006/relationships/hyperlink" Target="http://www.profprokat.ru/content/view/268/8/" TargetMode="External" /><Relationship Id="rId476" Type="http://schemas.openxmlformats.org/officeDocument/2006/relationships/hyperlink" Target="http://www.profprokat.ru/content/view/268/8/" TargetMode="External" /><Relationship Id="rId477" Type="http://schemas.openxmlformats.org/officeDocument/2006/relationships/hyperlink" Target="http://www.profprokat.ru/content/view/167/52/" TargetMode="External" /><Relationship Id="rId478" Type="http://schemas.openxmlformats.org/officeDocument/2006/relationships/hyperlink" Target="http://www.profprokat.ru/content/view/692/75/" TargetMode="External" /><Relationship Id="rId479" Type="http://schemas.openxmlformats.org/officeDocument/2006/relationships/hyperlink" Target="http://www.profprokat.ru/content/view/764/76/" TargetMode="External" /><Relationship Id="rId480" Type="http://schemas.openxmlformats.org/officeDocument/2006/relationships/hyperlink" Target="http://www.profprokat.ru/content/view/754/76/" TargetMode="External" /><Relationship Id="rId481" Type="http://schemas.openxmlformats.org/officeDocument/2006/relationships/hyperlink" Target="http://www.profprokat.ru/content/view/139/52/" TargetMode="External" /><Relationship Id="rId482" Type="http://schemas.openxmlformats.org/officeDocument/2006/relationships/hyperlink" Target="http://www.profprokat.ru/content/view/754/76/" TargetMode="External" /><Relationship Id="rId483" Type="http://schemas.openxmlformats.org/officeDocument/2006/relationships/hyperlink" Target="http://www.profprokat.ru/content/view/1288/75/" TargetMode="External" /><Relationship Id="rId484" Type="http://schemas.openxmlformats.org/officeDocument/2006/relationships/hyperlink" Target="http://www.profprokat.ru/content/view/1304/75/" TargetMode="External" /><Relationship Id="rId485" Type="http://schemas.openxmlformats.org/officeDocument/2006/relationships/hyperlink" Target="http://www.profprokat.ru/content/view/731/76/" TargetMode="External" /><Relationship Id="rId486" Type="http://schemas.openxmlformats.org/officeDocument/2006/relationships/hyperlink" Target="http://www.profprokat.ru/content/view/764/76/" TargetMode="External" /><Relationship Id="rId487" Type="http://schemas.openxmlformats.org/officeDocument/2006/relationships/hyperlink" Target="http://www.profprokat.ru/content/view/725/76/" TargetMode="External" /><Relationship Id="rId488" Type="http://schemas.openxmlformats.org/officeDocument/2006/relationships/hyperlink" Target="http://www.profprokat.ru/content/view/877/74/" TargetMode="External" /><Relationship Id="rId489" Type="http://schemas.openxmlformats.org/officeDocument/2006/relationships/hyperlink" Target="http://www.profprokat.ru/content/view/664/75/" TargetMode="External" /><Relationship Id="rId490" Type="http://schemas.openxmlformats.org/officeDocument/2006/relationships/hyperlink" Target="http://www.profprokat.ru/content/view/483/72/" TargetMode="External" /><Relationship Id="rId491" Type="http://schemas.openxmlformats.org/officeDocument/2006/relationships/hyperlink" Target="http://www.profprokat.ru/content/view/167/52/" TargetMode="External" /><Relationship Id="rId492" Type="http://schemas.openxmlformats.org/officeDocument/2006/relationships/hyperlink" Target="http://www.profprokat.ru/content/view/181/52/" TargetMode="External" /><Relationship Id="rId493" Type="http://schemas.openxmlformats.org/officeDocument/2006/relationships/hyperlink" Target="http://www.profprokat.ru/content/view/769/76/" TargetMode="External" /><Relationship Id="rId494" Type="http://schemas.openxmlformats.org/officeDocument/2006/relationships/hyperlink" Target="http://www.profprokat.ru/content/view/769/76/" TargetMode="External" /><Relationship Id="rId495" Type="http://schemas.openxmlformats.org/officeDocument/2006/relationships/hyperlink" Target="http://www.profprokat.ru/content/view/766/76/" TargetMode="External" /><Relationship Id="rId496" Type="http://schemas.openxmlformats.org/officeDocument/2006/relationships/hyperlink" Target="http://www.profprokat.ru/content/view/878/74/" TargetMode="External" /><Relationship Id="rId497" Type="http://schemas.openxmlformats.org/officeDocument/2006/relationships/hyperlink" Target="http://www.profprokat.ru/content/view/872/74/" TargetMode="External" /><Relationship Id="rId498" Type="http://schemas.openxmlformats.org/officeDocument/2006/relationships/hyperlink" Target="http://www.profprokat.ru/content/view/1288/75/" TargetMode="External" /><Relationship Id="rId499" Type="http://schemas.openxmlformats.org/officeDocument/2006/relationships/hyperlink" Target="http://www.profprokat.ru/content/view/664/75/" TargetMode="External" /><Relationship Id="rId500" Type="http://schemas.openxmlformats.org/officeDocument/2006/relationships/hyperlink" Target="http://www.profprokat.ru/content/view/744/76/" TargetMode="External" /><Relationship Id="rId501" Type="http://schemas.openxmlformats.org/officeDocument/2006/relationships/hyperlink" Target="http://www.profprokat.ru/content/view/396/72/" TargetMode="External" /><Relationship Id="rId502" Type="http://schemas.openxmlformats.org/officeDocument/2006/relationships/hyperlink" Target="http://www.profprokat.ru/content/view/878/74/" TargetMode="External" /><Relationship Id="rId503" Type="http://schemas.openxmlformats.org/officeDocument/2006/relationships/hyperlink" Target="http://www.profprokat.ru/content/view/483/72/" TargetMode="External" /><Relationship Id="rId504" Type="http://schemas.openxmlformats.org/officeDocument/2006/relationships/hyperlink" Target="http://www.profprokat.ru/content/view/483/72/" TargetMode="External" /><Relationship Id="rId505" Type="http://schemas.openxmlformats.org/officeDocument/2006/relationships/hyperlink" Target="http://www.profprokat.ru/content/view/483/72/" TargetMode="External" /><Relationship Id="rId506" Type="http://schemas.openxmlformats.org/officeDocument/2006/relationships/hyperlink" Target="http://www.profprokat.ru/content/view/754/76/" TargetMode="External" /><Relationship Id="rId507" Type="http://schemas.openxmlformats.org/officeDocument/2006/relationships/hyperlink" Target="http://www.profprokat.ru/content/view/463/72/" TargetMode="External" /><Relationship Id="rId508" Type="http://schemas.openxmlformats.org/officeDocument/2006/relationships/hyperlink" Target="http://www.profprokat.ru/content/view/148/52/" TargetMode="External" /><Relationship Id="rId509" Type="http://schemas.openxmlformats.org/officeDocument/2006/relationships/hyperlink" Target="http://www.profprokat.ru/content/view/167/52/" TargetMode="External" /><Relationship Id="rId510" Type="http://schemas.openxmlformats.org/officeDocument/2006/relationships/hyperlink" Target="http://www.profprokat.ru/content/view/277/8/" TargetMode="External" /><Relationship Id="rId511" Type="http://schemas.openxmlformats.org/officeDocument/2006/relationships/hyperlink" Target="http://www.profprokat.ru/content/view/277/8/" TargetMode="External" /><Relationship Id="rId512" Type="http://schemas.openxmlformats.org/officeDocument/2006/relationships/hyperlink" Target="http://www.profprokat.ru/content/view/466/72/" TargetMode="External" /><Relationship Id="rId513" Type="http://schemas.openxmlformats.org/officeDocument/2006/relationships/hyperlink" Target="http://www.profprokat.ru/content/view/1305/75/" TargetMode="External" /><Relationship Id="rId514" Type="http://schemas.openxmlformats.org/officeDocument/2006/relationships/hyperlink" Target="http://www.profprokat.ru/content/view/678/75/" TargetMode="External" /><Relationship Id="rId515" Type="http://schemas.openxmlformats.org/officeDocument/2006/relationships/hyperlink" Target="http://www.profprokat.ru/content/view/754/76/" TargetMode="External" /><Relationship Id="rId516" Type="http://schemas.openxmlformats.org/officeDocument/2006/relationships/hyperlink" Target="http://www.profprokat.ru/content/view/483/72/" TargetMode="External" /><Relationship Id="rId517" Type="http://schemas.openxmlformats.org/officeDocument/2006/relationships/hyperlink" Target="http://www.profprokat.ru/content/view/754/76/" TargetMode="External" /><Relationship Id="rId518" Type="http://schemas.openxmlformats.org/officeDocument/2006/relationships/hyperlink" Target="http://www.profprokat.ru/content/view/754/76/" TargetMode="External" /><Relationship Id="rId519" Type="http://schemas.openxmlformats.org/officeDocument/2006/relationships/hyperlink" Target="http://www.profprokat.ru/content/view/769/76/" TargetMode="External" /><Relationship Id="rId520" Type="http://schemas.openxmlformats.org/officeDocument/2006/relationships/hyperlink" Target="http://www.profprokat.ru/content/view/769/76/" TargetMode="External" /><Relationship Id="rId521" Type="http://schemas.openxmlformats.org/officeDocument/2006/relationships/hyperlink" Target="http://www.profprokat.ru/content/view/139/52/" TargetMode="External" /><Relationship Id="rId522" Type="http://schemas.openxmlformats.org/officeDocument/2006/relationships/hyperlink" Target="http://www.profprokat.ru/content/view/754/76/" TargetMode="External" /><Relationship Id="rId523" Type="http://schemas.openxmlformats.org/officeDocument/2006/relationships/hyperlink" Target="http://www.profprokat.ru/content/view/877/74/" TargetMode="External" /><Relationship Id="rId524" Type="http://schemas.openxmlformats.org/officeDocument/2006/relationships/hyperlink" Target="http://www.profprokat.ru/content/view/877/74/" TargetMode="External" /><Relationship Id="rId525" Type="http://schemas.openxmlformats.org/officeDocument/2006/relationships/hyperlink" Target="http://www.profprokat.ru/content/view/443/72/" TargetMode="External" /><Relationship Id="rId526" Type="http://schemas.openxmlformats.org/officeDocument/2006/relationships/hyperlink" Target="http://www.profprokat.ru/content/view/463/72/" TargetMode="External" /><Relationship Id="rId527" Type="http://schemas.openxmlformats.org/officeDocument/2006/relationships/hyperlink" Target="http://www.profprokat.ru/content/view/207/8/" TargetMode="External" /><Relationship Id="rId528" Type="http://schemas.openxmlformats.org/officeDocument/2006/relationships/hyperlink" Target="http://www.profprokat.ru/content/view/314/8/" TargetMode="External" /><Relationship Id="rId529" Type="http://schemas.openxmlformats.org/officeDocument/2006/relationships/hyperlink" Target="http://www.profprokat.ru/content/view/314/8/" TargetMode="External" /><Relationship Id="rId530" Type="http://schemas.openxmlformats.org/officeDocument/2006/relationships/hyperlink" Target="http://www.profprokat.ru/content/view/678/75/" TargetMode="External" /><Relationship Id="rId531" Type="http://schemas.openxmlformats.org/officeDocument/2006/relationships/hyperlink" Target="http://www.profprokat.ru/content/view/742/76/" TargetMode="External" /><Relationship Id="rId532" Type="http://schemas.openxmlformats.org/officeDocument/2006/relationships/hyperlink" Target="http://www.profprokat.ru/content/view/731/76/" TargetMode="External" /><Relationship Id="rId533" Type="http://schemas.openxmlformats.org/officeDocument/2006/relationships/hyperlink" Target="http://www.profprokat.ru/content/view/692/75/" TargetMode="External" /><Relationship Id="rId534" Type="http://schemas.openxmlformats.org/officeDocument/2006/relationships/hyperlink" Target="http://www.profprokat.ru/content/view/692/75/" TargetMode="External" /><Relationship Id="rId535" Type="http://schemas.openxmlformats.org/officeDocument/2006/relationships/hyperlink" Target="http://www.profprokat.ru/content/view/727/76/" TargetMode="External" /><Relationship Id="rId536" Type="http://schemas.openxmlformats.org/officeDocument/2006/relationships/hyperlink" Target="http://www.profprokat.ru/content/view/727/76/" TargetMode="External" /><Relationship Id="rId537" Type="http://schemas.openxmlformats.org/officeDocument/2006/relationships/hyperlink" Target="http://www.profprokat.ru/content/view/167/52/" TargetMode="External" /><Relationship Id="rId538" Type="http://schemas.openxmlformats.org/officeDocument/2006/relationships/hyperlink" Target="http://www.profprokat.ru/content/view/727/76/" TargetMode="External" /><Relationship Id="rId539" Type="http://schemas.openxmlformats.org/officeDocument/2006/relationships/hyperlink" Target="http://www.profprokat.ru/content/view/769/76/" TargetMode="External" /><Relationship Id="rId540" Type="http://schemas.openxmlformats.org/officeDocument/2006/relationships/hyperlink" Target="http://www.profprokat.ru/content/view/754/76/" TargetMode="External" /><Relationship Id="rId541" Type="http://schemas.openxmlformats.org/officeDocument/2006/relationships/hyperlink" Target="http://www.profprokat.ru/content/view/727/76/" TargetMode="External" /><Relationship Id="rId542" Type="http://schemas.openxmlformats.org/officeDocument/2006/relationships/hyperlink" Target="http://www.profprokat.ru/content/view/727/76/" TargetMode="External" /><Relationship Id="rId543" Type="http://schemas.openxmlformats.org/officeDocument/2006/relationships/hyperlink" Target="http://www.profprokat.ru/content/view/754/76/" TargetMode="External" /><Relationship Id="rId544" Type="http://schemas.openxmlformats.org/officeDocument/2006/relationships/hyperlink" Target="http://www.profprokat.ru/content/view/443/72/" TargetMode="External" /><Relationship Id="rId545" Type="http://schemas.openxmlformats.org/officeDocument/2006/relationships/hyperlink" Target="http://www.profprokat.ru/content/view/443/72/" TargetMode="External" /><Relationship Id="rId546" Type="http://schemas.openxmlformats.org/officeDocument/2006/relationships/hyperlink" Target="http://www.profprokat.ru/content/view/754/76/" TargetMode="External" /><Relationship Id="rId547" Type="http://schemas.openxmlformats.org/officeDocument/2006/relationships/hyperlink" Target="http://www.profprokat.ru/content/view/167/52/" TargetMode="External" /><Relationship Id="rId548" Type="http://schemas.openxmlformats.org/officeDocument/2006/relationships/hyperlink" Target="http://www.profprokat.ru/content/view/167/52/" TargetMode="External" /><Relationship Id="rId549" Type="http://schemas.openxmlformats.org/officeDocument/2006/relationships/hyperlink" Target="http://www.profprokat.ru/content/view/1321/76/" TargetMode="External" /><Relationship Id="rId550" Type="http://schemas.openxmlformats.org/officeDocument/2006/relationships/hyperlink" Target="http://www.profprokat.ru/content/view/727/76/" TargetMode="External" /><Relationship Id="rId551" Type="http://schemas.openxmlformats.org/officeDocument/2006/relationships/hyperlink" Target="http://www.profprokat.ru/content/view/877/74/" TargetMode="External" /><Relationship Id="rId552" Type="http://schemas.openxmlformats.org/officeDocument/2006/relationships/hyperlink" Target="http://www.profprokat.ru/content/view/877/74/" TargetMode="External" /><Relationship Id="rId553" Type="http://schemas.openxmlformats.org/officeDocument/2006/relationships/hyperlink" Target="http://www.profprokat.ru/content/view/877/74/" TargetMode="External" /><Relationship Id="rId554" Type="http://schemas.openxmlformats.org/officeDocument/2006/relationships/hyperlink" Target="http://www.profprokat.ru/content/view/877/74/" TargetMode="External" /><Relationship Id="rId555" Type="http://schemas.openxmlformats.org/officeDocument/2006/relationships/hyperlink" Target="http://www.profprokat.ru/content/view/877/74/" TargetMode="External" /><Relationship Id="rId556" Type="http://schemas.openxmlformats.org/officeDocument/2006/relationships/hyperlink" Target="http://www.profprokat.ru/content/view/463/72/" TargetMode="External" /><Relationship Id="rId557" Type="http://schemas.openxmlformats.org/officeDocument/2006/relationships/hyperlink" Target="http://www.profprokat.ru/content/view/203/52/" TargetMode="External" /><Relationship Id="rId558" Type="http://schemas.openxmlformats.org/officeDocument/2006/relationships/hyperlink" Target="http://www.profprokat.ru/content/view/1332/50/" TargetMode="External" /><Relationship Id="rId559" Type="http://schemas.openxmlformats.org/officeDocument/2006/relationships/hyperlink" Target="http://www.profprokat.ru/content/view/1304/75/" TargetMode="External" /><Relationship Id="rId560" Type="http://schemas.openxmlformats.org/officeDocument/2006/relationships/hyperlink" Target="http://www.profprokat.ru/content/view/770/76/" TargetMode="External" /><Relationship Id="rId561" Type="http://schemas.openxmlformats.org/officeDocument/2006/relationships/hyperlink" Target="http://www.profprokat.ru/content/view/878/74/" TargetMode="External" /><Relationship Id="rId562" Type="http://schemas.openxmlformats.org/officeDocument/2006/relationships/hyperlink" Target="http://www.profprokat.ru/content/view/1288/75/" TargetMode="External" /><Relationship Id="rId563" Type="http://schemas.openxmlformats.org/officeDocument/2006/relationships/hyperlink" Target="http://www.profprokat.ru/content/view/769/76/" TargetMode="External" /><Relationship Id="rId564" Type="http://schemas.openxmlformats.org/officeDocument/2006/relationships/hyperlink" Target="http://www.profprokat.ru/content/view/242/8/" TargetMode="External" /><Relationship Id="rId565" Type="http://schemas.openxmlformats.org/officeDocument/2006/relationships/hyperlink" Target="http://www.profprokat.ru/content/view/242/8/" TargetMode="External" /><Relationship Id="rId566" Type="http://schemas.openxmlformats.org/officeDocument/2006/relationships/hyperlink" Target="http://www.profprokat.ru/content/view/242/8/" TargetMode="External" /><Relationship Id="rId567" Type="http://schemas.openxmlformats.org/officeDocument/2006/relationships/hyperlink" Target="http://www.profprokat.ru/content/view/148/52/" TargetMode="External" /><Relationship Id="rId568" Type="http://schemas.openxmlformats.org/officeDocument/2006/relationships/hyperlink" Target="http://www.profprokat.ru/content/view/692/75/" TargetMode="External" /><Relationship Id="rId569" Type="http://schemas.openxmlformats.org/officeDocument/2006/relationships/hyperlink" Target="http://www.profprokat.ru/content/view/1300/76/" TargetMode="External" /><Relationship Id="rId570" Type="http://schemas.openxmlformats.org/officeDocument/2006/relationships/hyperlink" Target="http://www.profprokat.ru/content/view/1300/76/" TargetMode="External" /><Relationship Id="rId571" Type="http://schemas.openxmlformats.org/officeDocument/2006/relationships/hyperlink" Target="http://www.profprokat.ru/content/view/766/76/" TargetMode="External" /><Relationship Id="rId572" Type="http://schemas.openxmlformats.org/officeDocument/2006/relationships/hyperlink" Target="http://www.profprokat.ru/content/view/769/76/" TargetMode="External" /><Relationship Id="rId573" Type="http://schemas.openxmlformats.org/officeDocument/2006/relationships/hyperlink" Target="http://www.profprokat.ru/content/view/769/76/" TargetMode="External" /><Relationship Id="rId574" Type="http://schemas.openxmlformats.org/officeDocument/2006/relationships/hyperlink" Target="http://www.profprokat.ru/content/view/769/76/" TargetMode="External" /><Relationship Id="rId575" Type="http://schemas.openxmlformats.org/officeDocument/2006/relationships/hyperlink" Target="http://www.profprokat.ru/content/view/769/76/" TargetMode="External" /><Relationship Id="rId576" Type="http://schemas.openxmlformats.org/officeDocument/2006/relationships/hyperlink" Target="http://www.profprokat.ru/content/view/769/76/" TargetMode="External" /><Relationship Id="rId577" Type="http://schemas.openxmlformats.org/officeDocument/2006/relationships/hyperlink" Target="http://www.profprokat.ru/content/view/769/76/" TargetMode="External" /><Relationship Id="rId578" Type="http://schemas.openxmlformats.org/officeDocument/2006/relationships/hyperlink" Target="http://www.profprokat.ru/content/view/769/76/" TargetMode="External" /><Relationship Id="rId579" Type="http://schemas.openxmlformats.org/officeDocument/2006/relationships/hyperlink" Target="http://www.profprokat.ru/content/view/769/76/" TargetMode="External" /><Relationship Id="rId580" Type="http://schemas.openxmlformats.org/officeDocument/2006/relationships/hyperlink" Target="http://www.profprokat.ru/content/view/769/76/" TargetMode="External" /><Relationship Id="rId581" Type="http://schemas.openxmlformats.org/officeDocument/2006/relationships/hyperlink" Target="http://www.profprokat.ru/content/view/769/76/" TargetMode="External" /><Relationship Id="rId582" Type="http://schemas.openxmlformats.org/officeDocument/2006/relationships/hyperlink" Target="http://www.profprokat.ru/content/view/678/75/" TargetMode="External" /><Relationship Id="rId583" Type="http://schemas.openxmlformats.org/officeDocument/2006/relationships/hyperlink" Target="http://www.profprokat.ru/content/view/678/75/" TargetMode="External" /><Relationship Id="rId584" Type="http://schemas.openxmlformats.org/officeDocument/2006/relationships/hyperlink" Target="http://www.profprokat.ru/content/view/678/75/" TargetMode="External" /><Relationship Id="rId585" Type="http://schemas.openxmlformats.org/officeDocument/2006/relationships/hyperlink" Target="http://www.profprokat.ru/content/view/731/76/" TargetMode="External" /><Relationship Id="rId586" Type="http://schemas.openxmlformats.org/officeDocument/2006/relationships/hyperlink" Target="http://www.profprokat.ru/content/view/203/52/" TargetMode="External" /><Relationship Id="rId587" Type="http://schemas.openxmlformats.org/officeDocument/2006/relationships/hyperlink" Target="http://www.profprokat.ru/content/view/678/75/" TargetMode="External" /><Relationship Id="rId588" Type="http://schemas.openxmlformats.org/officeDocument/2006/relationships/hyperlink" Target="http://www.profprokat.ru/content/view/714/75/" TargetMode="External" /><Relationship Id="rId589" Type="http://schemas.openxmlformats.org/officeDocument/2006/relationships/hyperlink" Target="http://www.profprokat.ru/content/view/714/75/" TargetMode="External" /><Relationship Id="rId590" Type="http://schemas.openxmlformats.org/officeDocument/2006/relationships/hyperlink" Target="http://www.profprokat.ru/content/view/242/8/" TargetMode="External" /><Relationship Id="rId591" Type="http://schemas.openxmlformats.org/officeDocument/2006/relationships/hyperlink" Target="http://www.profprokat.ru/content/view/769/76/" TargetMode="External" /><Relationship Id="rId592" Type="http://schemas.openxmlformats.org/officeDocument/2006/relationships/hyperlink" Target="http://www.profprokat.ru/content/view/769/76/" TargetMode="External" /><Relationship Id="rId593" Type="http://schemas.openxmlformats.org/officeDocument/2006/relationships/hyperlink" Target="http://www.profprokat.ru/content/view/167/52/" TargetMode="External" /><Relationship Id="rId594" Type="http://schemas.openxmlformats.org/officeDocument/2006/relationships/hyperlink" Target="http://www.profprokat.ru/content/view/167/52/" TargetMode="External" /><Relationship Id="rId595" Type="http://schemas.openxmlformats.org/officeDocument/2006/relationships/hyperlink" Target="http://www.profprokat.ru/content/view/242/8/" TargetMode="External" /><Relationship Id="rId596" Type="http://schemas.openxmlformats.org/officeDocument/2006/relationships/hyperlink" Target="http://www.profprokat.ru/content/view/169/52/" TargetMode="External" /><Relationship Id="rId597" Type="http://schemas.openxmlformats.org/officeDocument/2006/relationships/hyperlink" Target="http://www.profprokat.ru/content/view/1321/76/" TargetMode="External" /><Relationship Id="rId598" Type="http://schemas.openxmlformats.org/officeDocument/2006/relationships/hyperlink" Target="http://www.profprokat.ru/content/view/1321/76/" TargetMode="External" /><Relationship Id="rId599" Type="http://schemas.openxmlformats.org/officeDocument/2006/relationships/hyperlink" Target="http://www.profprokat.ru/content/view/1321/76/" TargetMode="External" /><Relationship Id="rId600" Type="http://schemas.openxmlformats.org/officeDocument/2006/relationships/hyperlink" Target="http://www.profprokat.ru/content/view/1321/76/" TargetMode="External" /><Relationship Id="rId601" Type="http://schemas.openxmlformats.org/officeDocument/2006/relationships/hyperlink" Target="http://www.profprokat.ru/content/view/1321/76/" TargetMode="External" /><Relationship Id="rId602" Type="http://schemas.openxmlformats.org/officeDocument/2006/relationships/hyperlink" Target="http://www.profprokat.ru/content/view/1321/76/" TargetMode="External" /><Relationship Id="rId603" Type="http://schemas.openxmlformats.org/officeDocument/2006/relationships/hyperlink" Target="http://www.profprokat.ru/content/view/179/8/" TargetMode="External" /><Relationship Id="rId604" Type="http://schemas.openxmlformats.org/officeDocument/2006/relationships/hyperlink" Target="http://www.profprokat.ru/content/view/179/8/" TargetMode="External" /><Relationship Id="rId605" Type="http://schemas.openxmlformats.org/officeDocument/2006/relationships/hyperlink" Target="http://www.profprokat.ru/content/view/1304/75/" TargetMode="External" /><Relationship Id="rId606" Type="http://schemas.openxmlformats.org/officeDocument/2006/relationships/hyperlink" Target="http://www.profprokat.ru/content/view/1333/75/" TargetMode="External" /><Relationship Id="rId607" Type="http://schemas.openxmlformats.org/officeDocument/2006/relationships/hyperlink" Target="http://www.profprokat.ru/content/view/1333/75/" TargetMode="External" /><Relationship Id="rId608" Type="http://schemas.openxmlformats.org/officeDocument/2006/relationships/hyperlink" Target="http://www.profprokat.ru/content/view/241/8/" TargetMode="External" /><Relationship Id="rId609" Type="http://schemas.openxmlformats.org/officeDocument/2006/relationships/hyperlink" Target="http://www.profprokat.ru/content/view/268/8/" TargetMode="External" /><Relationship Id="rId610" Type="http://schemas.openxmlformats.org/officeDocument/2006/relationships/hyperlink" Target="http://www.profprokat.ru/content/view/769/76/" TargetMode="External" /><Relationship Id="rId611" Type="http://schemas.openxmlformats.org/officeDocument/2006/relationships/hyperlink" Target="http://www.profprokat.ru/content/view/769/76/" TargetMode="External" /><Relationship Id="rId612" Type="http://schemas.openxmlformats.org/officeDocument/2006/relationships/hyperlink" Target="http://www.profprokat.ru/content/view/473/72/" TargetMode="External" /><Relationship Id="rId613" Type="http://schemas.openxmlformats.org/officeDocument/2006/relationships/hyperlink" Target="http://www.profprokat.ru/content/view/473/72/" TargetMode="External" /><Relationship Id="rId614" Type="http://schemas.openxmlformats.org/officeDocument/2006/relationships/hyperlink" Target="http://www.profprokat.ru/content/view/473/72/" TargetMode="External" /><Relationship Id="rId615" Type="http://schemas.openxmlformats.org/officeDocument/2006/relationships/hyperlink" Target="http://www.profprokat.ru/content/view/473/72/" TargetMode="External" /><Relationship Id="rId616" Type="http://schemas.openxmlformats.org/officeDocument/2006/relationships/hyperlink" Target="http://www.profprokat.ru/content/view/473/72/" TargetMode="External" /><Relationship Id="rId617" Type="http://schemas.openxmlformats.org/officeDocument/2006/relationships/hyperlink" Target="http://www.profprokat.ru/content/view/466/72/" TargetMode="External" /><Relationship Id="rId618" Type="http://schemas.openxmlformats.org/officeDocument/2006/relationships/hyperlink" Target="http://www.profprokat.ru/content/view/466/72/" TargetMode="External" /><Relationship Id="rId619" Type="http://schemas.openxmlformats.org/officeDocument/2006/relationships/hyperlink" Target="http://www.profprokat.ru/content/view/678/75/" TargetMode="External" /><Relationship Id="rId620" Type="http://schemas.openxmlformats.org/officeDocument/2006/relationships/hyperlink" Target="http://www.profprokat.ru/content/view/725/76/" TargetMode="External" /><Relationship Id="rId621" Type="http://schemas.openxmlformats.org/officeDocument/2006/relationships/hyperlink" Target="http://www.profprokat.ru/content/view/735/76/" TargetMode="External" /><Relationship Id="rId622" Type="http://schemas.openxmlformats.org/officeDocument/2006/relationships/hyperlink" Target="http://www.profprokat.ru/content/view/1304/75/" TargetMode="External" /><Relationship Id="rId623" Type="http://schemas.openxmlformats.org/officeDocument/2006/relationships/hyperlink" Target="http://www.profprokat.ru/content/view/169/52/" TargetMode="External" /><Relationship Id="rId624" Type="http://schemas.openxmlformats.org/officeDocument/2006/relationships/hyperlink" Target="http://www.profprokat.ru/content/view/139/52/" TargetMode="External" /><Relationship Id="rId625" Type="http://schemas.openxmlformats.org/officeDocument/2006/relationships/hyperlink" Target="http://www.profprokat.ru/content/view/877/74/" TargetMode="External" /><Relationship Id="rId626" Type="http://schemas.openxmlformats.org/officeDocument/2006/relationships/hyperlink" Target="http://www.profprokat.ru/content/view/877/74/" TargetMode="External" /><Relationship Id="rId627" Type="http://schemas.openxmlformats.org/officeDocument/2006/relationships/hyperlink" Target="http://www.profprokat.ru/content/view/877/74/" TargetMode="External" /><Relationship Id="rId628" Type="http://schemas.openxmlformats.org/officeDocument/2006/relationships/hyperlink" Target="http://www.profprokat.ru/content/view/733/76/" TargetMode="External" /><Relationship Id="rId629" Type="http://schemas.openxmlformats.org/officeDocument/2006/relationships/hyperlink" Target="http://www.profprokat.ru/content/view/242/8/" TargetMode="External" /><Relationship Id="rId630" Type="http://schemas.openxmlformats.org/officeDocument/2006/relationships/hyperlink" Target="http://www.profprokat.ru/content/view/877/74/" TargetMode="External" /><Relationship Id="rId631" Type="http://schemas.openxmlformats.org/officeDocument/2006/relationships/hyperlink" Target="http://www.profprokat.ru/content/view/877/74/" TargetMode="External" /><Relationship Id="rId632" Type="http://schemas.openxmlformats.org/officeDocument/2006/relationships/hyperlink" Target="http://www.profprokat.ru/content/view/277/8/" TargetMode="External" /><Relationship Id="rId633" Type="http://schemas.openxmlformats.org/officeDocument/2006/relationships/hyperlink" Target="http://www.profprokat.ru/content/view/277/8/" TargetMode="External" /><Relationship Id="rId634" Type="http://schemas.openxmlformats.org/officeDocument/2006/relationships/hyperlink" Target="http://www.profprokat.ru/content/view/443/72/" TargetMode="External" /><Relationship Id="rId635" Type="http://schemas.openxmlformats.org/officeDocument/2006/relationships/hyperlink" Target="http://www.profprokat.ru/content/view/770/76/" TargetMode="External" /><Relationship Id="rId636" Type="http://schemas.openxmlformats.org/officeDocument/2006/relationships/hyperlink" Target="http://www.profprokat.ru/content/view/727/76/" TargetMode="External" /><Relationship Id="rId637" Type="http://schemas.openxmlformats.org/officeDocument/2006/relationships/hyperlink" Target="http://www.profprokat.ru/content/view/737/76/" TargetMode="External" /><Relationship Id="rId638" Type="http://schemas.openxmlformats.org/officeDocument/2006/relationships/hyperlink" Target="http://www.profprokat.ru/content/view/769/76/" TargetMode="External" /><Relationship Id="rId639" Type="http://schemas.openxmlformats.org/officeDocument/2006/relationships/hyperlink" Target="http://www.profprokat.ru/content/view/877/74/" TargetMode="External" /><Relationship Id="rId640" Type="http://schemas.openxmlformats.org/officeDocument/2006/relationships/hyperlink" Target="http://www.profprokat.ru/content/view/347/8/" TargetMode="External" /><Relationship Id="rId641" Type="http://schemas.openxmlformats.org/officeDocument/2006/relationships/hyperlink" Target="http://www.profprokat.ru/content/view/347/8/" TargetMode="External" /><Relationship Id="rId642" Type="http://schemas.openxmlformats.org/officeDocument/2006/relationships/hyperlink" Target="http://www.profprokat.ru/content/view/877/74/" TargetMode="External" /><Relationship Id="rId643" Type="http://schemas.openxmlformats.org/officeDocument/2006/relationships/hyperlink" Target="http://www.profprokat.ru/content/view/1304/75/" TargetMode="External" /><Relationship Id="rId644" Type="http://schemas.openxmlformats.org/officeDocument/2006/relationships/hyperlink" Target="http://www.profprokat.ru/content/view/752/76/" TargetMode="External" /><Relationship Id="rId645" Type="http://schemas.openxmlformats.org/officeDocument/2006/relationships/hyperlink" Target="http://www.profprokat.ru/content/view/242/8/" TargetMode="External" /><Relationship Id="rId646" Type="http://schemas.openxmlformats.org/officeDocument/2006/relationships/hyperlink" Target="http://www.profprokat.ru/content/view/693/75/" TargetMode="External" /><Relationship Id="rId647" Type="http://schemas.openxmlformats.org/officeDocument/2006/relationships/hyperlink" Target="http://www.profprokat.ru/content/view/1315/76/" TargetMode="External" /><Relationship Id="rId648" Type="http://schemas.openxmlformats.org/officeDocument/2006/relationships/hyperlink" Target="http://www.profprokat.ru/content/view/1315/76/" TargetMode="External" /><Relationship Id="rId649" Type="http://schemas.openxmlformats.org/officeDocument/2006/relationships/hyperlink" Target="http://www.profprokat.ru/content/view/1320/75/" TargetMode="External" /><Relationship Id="rId650" Type="http://schemas.openxmlformats.org/officeDocument/2006/relationships/hyperlink" Target="http://www.profprokat.ru/content/view/1320/75/" TargetMode="External" /><Relationship Id="rId651" Type="http://schemas.openxmlformats.org/officeDocument/2006/relationships/hyperlink" Target="http://www.profprokat.ru/content/view/1320/75/" TargetMode="External" /><Relationship Id="rId652" Type="http://schemas.openxmlformats.org/officeDocument/2006/relationships/hyperlink" Target="http://www.profprokat.ru/content/view/1320/75/" TargetMode="External" /><Relationship Id="rId653" Type="http://schemas.openxmlformats.org/officeDocument/2006/relationships/hyperlink" Target="http://www.profprokat.ru/content/view/714/75/" TargetMode="External" /><Relationship Id="rId654" Type="http://schemas.openxmlformats.org/officeDocument/2006/relationships/hyperlink" Target="http://www.profprokat.ru/content/view/769/76/" TargetMode="External" /><Relationship Id="rId655" Type="http://schemas.openxmlformats.org/officeDocument/2006/relationships/hyperlink" Target="http://www.profprokat.ru/content/view/242/8/" TargetMode="External" /><Relationship Id="rId656" Type="http://schemas.openxmlformats.org/officeDocument/2006/relationships/hyperlink" Target="http://www.profprokat.ru/content/view/1320/75/" TargetMode="External" /><Relationship Id="rId657" Type="http://schemas.openxmlformats.org/officeDocument/2006/relationships/hyperlink" Target="http://www.profprokat.ru/content/view/1320/75/" TargetMode="External" /><Relationship Id="rId658" Type="http://schemas.openxmlformats.org/officeDocument/2006/relationships/hyperlink" Target="http://www.profprokat.ru/content/view/167/52/" TargetMode="External" /><Relationship Id="rId659" Type="http://schemas.openxmlformats.org/officeDocument/2006/relationships/hyperlink" Target="http://www.profprokat.ru/content/view/727/76/" TargetMode="External" /><Relationship Id="rId660" Type="http://schemas.openxmlformats.org/officeDocument/2006/relationships/hyperlink" Target="http://www.profprokat.ru/content/view/769/76/" TargetMode="External" /><Relationship Id="rId661" Type="http://schemas.openxmlformats.org/officeDocument/2006/relationships/hyperlink" Target="http://www.profprokat.ru/content/view/1288/75/" TargetMode="External" /><Relationship Id="rId662" Type="http://schemas.openxmlformats.org/officeDocument/2006/relationships/hyperlink" Target="http://www.profprokat.ru/content/view/1288/75/" TargetMode="External" /><Relationship Id="rId663" Type="http://schemas.openxmlformats.org/officeDocument/2006/relationships/hyperlink" Target="http://www.profprokat.ru/content/view/1304/75/" TargetMode="External" /><Relationship Id="rId664" Type="http://schemas.openxmlformats.org/officeDocument/2006/relationships/hyperlink" Target="http://www.profprokat.ru/content/view/1304/75/" TargetMode="External" /><Relationship Id="rId665" Type="http://schemas.openxmlformats.org/officeDocument/2006/relationships/hyperlink" Target="http://www.profprokat.ru/content/view/769/76/" TargetMode="External" /><Relationship Id="rId666" Type="http://schemas.openxmlformats.org/officeDocument/2006/relationships/hyperlink" Target="http://www.profprokat.ru/content/view/770/76/" TargetMode="External" /><Relationship Id="rId667" Type="http://schemas.openxmlformats.org/officeDocument/2006/relationships/hyperlink" Target="http://www.profprokat.ru/content/view/725/76/" TargetMode="External" /><Relationship Id="rId668" Type="http://schemas.openxmlformats.org/officeDocument/2006/relationships/hyperlink" Target="http://www.profprokat.ru/content/view/1321/76/" TargetMode="External" /><Relationship Id="rId669" Type="http://schemas.openxmlformats.org/officeDocument/2006/relationships/hyperlink" Target="http://www.profprokat.ru/content/view/1321/76/" TargetMode="External" /><Relationship Id="rId670" Type="http://schemas.openxmlformats.org/officeDocument/2006/relationships/hyperlink" Target="http://www.profprokat.ru/content/view/1321/76/" TargetMode="External" /><Relationship Id="rId671" Type="http://schemas.openxmlformats.org/officeDocument/2006/relationships/hyperlink" Target="http://www.profprokat.ru/content/view/1321/76/" TargetMode="External" /><Relationship Id="rId672" Type="http://schemas.openxmlformats.org/officeDocument/2006/relationships/hyperlink" Target="http://www.profprokat.ru/content/view/1321/76/" TargetMode="External" /><Relationship Id="rId673" Type="http://schemas.openxmlformats.org/officeDocument/2006/relationships/hyperlink" Target="http://www.profprokat.ru/content/view/727/76/" TargetMode="External" /><Relationship Id="rId674" Type="http://schemas.openxmlformats.org/officeDocument/2006/relationships/hyperlink" Target="http://www.profprokat.ru/content/view/727/76/" TargetMode="External" /><Relationship Id="rId675" Type="http://schemas.openxmlformats.org/officeDocument/2006/relationships/hyperlink" Target="http://www.profprokat.ru/content/view/727/76/" TargetMode="External" /><Relationship Id="rId676" Type="http://schemas.openxmlformats.org/officeDocument/2006/relationships/hyperlink" Target="http://www.profprokat.ru/content/view/727/76/" TargetMode="External" /><Relationship Id="rId677" Type="http://schemas.openxmlformats.org/officeDocument/2006/relationships/hyperlink" Target="http://www.profprokat.ru/content/view/727/76/" TargetMode="External" /><Relationship Id="rId678" Type="http://schemas.openxmlformats.org/officeDocument/2006/relationships/hyperlink" Target="http://www.profprokat.ru/content/view/403/72/" TargetMode="External" /><Relationship Id="rId679" Type="http://schemas.openxmlformats.org/officeDocument/2006/relationships/hyperlink" Target="http://www.profprokat.ru/content/view/396/72/" TargetMode="External" /><Relationship Id="rId680" Type="http://schemas.openxmlformats.org/officeDocument/2006/relationships/hyperlink" Target="http://www.profprokat.ru/content/view/1320/75/" TargetMode="External" /><Relationship Id="rId681" Type="http://schemas.openxmlformats.org/officeDocument/2006/relationships/hyperlink" Target="http://www.profprokat.ru/content/view/1320/75/" TargetMode="External" /><Relationship Id="rId682" Type="http://schemas.openxmlformats.org/officeDocument/2006/relationships/hyperlink" Target="http://www.profprokat.ru/content/view/242/8/" TargetMode="External" /><Relationship Id="rId683" Type="http://schemas.openxmlformats.org/officeDocument/2006/relationships/hyperlink" Target="http://www.profprokat.ru/content/view/658/75/" TargetMode="External" /><Relationship Id="rId684" Type="http://schemas.openxmlformats.org/officeDocument/2006/relationships/hyperlink" Target="http://www.profprokat.ru/content/view/658/75/" TargetMode="External" /><Relationship Id="rId685" Type="http://schemas.openxmlformats.org/officeDocument/2006/relationships/hyperlink" Target="http://www.profprokat.ru/content/view/658/75/" TargetMode="External" /><Relationship Id="rId686" Type="http://schemas.openxmlformats.org/officeDocument/2006/relationships/hyperlink" Target="http://www.profprokat.ru/content/view/766/76/" TargetMode="External" /><Relationship Id="rId687" Type="http://schemas.openxmlformats.org/officeDocument/2006/relationships/hyperlink" Target="http://www.profprokat.ru/content/view/664/75/" TargetMode="External" /><Relationship Id="rId688" Type="http://schemas.openxmlformats.org/officeDocument/2006/relationships/hyperlink" Target="http://www.profprokat.ru/content/view/1321/76/" TargetMode="External" /><Relationship Id="rId689" Type="http://schemas.openxmlformats.org/officeDocument/2006/relationships/hyperlink" Target="http://www.profprokat.ru/content/view/1321/76/" TargetMode="External" /><Relationship Id="rId690" Type="http://schemas.openxmlformats.org/officeDocument/2006/relationships/hyperlink" Target="http://www.profprokat.ru/content/view/1321/76/" TargetMode="External" /><Relationship Id="rId691" Type="http://schemas.openxmlformats.org/officeDocument/2006/relationships/hyperlink" Target="http://www.profprokat.ru/content/view/727/76/" TargetMode="External" /><Relationship Id="rId692" Type="http://schemas.openxmlformats.org/officeDocument/2006/relationships/hyperlink" Target="http://www.profprokat.ru/content/view/727/76/" TargetMode="External" /><Relationship Id="rId693" Type="http://schemas.openxmlformats.org/officeDocument/2006/relationships/hyperlink" Target="http://www.profprokat.ru/content/view/678/75/" TargetMode="External" /><Relationship Id="rId694" Type="http://schemas.openxmlformats.org/officeDocument/2006/relationships/hyperlink" Target="http://www.profprokat.ru/content/view/678/75/" TargetMode="External" /><Relationship Id="rId695" Type="http://schemas.openxmlformats.org/officeDocument/2006/relationships/hyperlink" Target="http://www.profprokat.ru/content/view/725/76/" TargetMode="External" /><Relationship Id="rId696" Type="http://schemas.openxmlformats.org/officeDocument/2006/relationships/hyperlink" Target="http://www.profprokat.ru/content/view/727/76/" TargetMode="External" /><Relationship Id="rId697" Type="http://schemas.openxmlformats.org/officeDocument/2006/relationships/hyperlink" Target="http://www.profprokat.ru/content/view/769/76/" TargetMode="External" /><Relationship Id="rId698" Type="http://schemas.openxmlformats.org/officeDocument/2006/relationships/hyperlink" Target="http://www.profprokat.ru/content/view/403/72/" TargetMode="External" /><Relationship Id="rId699" Type="http://schemas.openxmlformats.org/officeDocument/2006/relationships/hyperlink" Target="http://www.profprokat.ru/content/view/764/76/" TargetMode="External" /><Relationship Id="rId700" Type="http://schemas.openxmlformats.org/officeDocument/2006/relationships/hyperlink" Target="http://www.profprokat.ru/content/view/242/8/" TargetMode="External" /><Relationship Id="rId701" Type="http://schemas.openxmlformats.org/officeDocument/2006/relationships/hyperlink" Target="http://www.profprokat.ru/content/view/769/76/" TargetMode="External" /><Relationship Id="rId702" Type="http://schemas.openxmlformats.org/officeDocument/2006/relationships/hyperlink" Target="http://www.profprokat.ru/content/view/169/52/" TargetMode="External" /><Relationship Id="rId703" Type="http://schemas.openxmlformats.org/officeDocument/2006/relationships/hyperlink" Target="http://www.profprokat.ru/content/view/693/75/" TargetMode="External" /><Relationship Id="rId704" Type="http://schemas.openxmlformats.org/officeDocument/2006/relationships/hyperlink" Target="http://www.profprokat.ru/content/view/723/76/" TargetMode="External" /><Relationship Id="rId705" Type="http://schemas.openxmlformats.org/officeDocument/2006/relationships/hyperlink" Target="http://www.profprokat.ru/content/view/203/52/" TargetMode="External" /><Relationship Id="rId706" Type="http://schemas.openxmlformats.org/officeDocument/2006/relationships/hyperlink" Target="http://www.profprokat.ru/content/view/764/76/" TargetMode="External" /><Relationship Id="rId707" Type="http://schemas.openxmlformats.org/officeDocument/2006/relationships/hyperlink" Target="http://www.profprokat.ru/content/view/1321/76/" TargetMode="External" /><Relationship Id="rId708" Type="http://schemas.openxmlformats.org/officeDocument/2006/relationships/hyperlink" Target="http://www.profprokat.ru/content/view/1321/76/" TargetMode="External" /><Relationship Id="rId709" Type="http://schemas.openxmlformats.org/officeDocument/2006/relationships/hyperlink" Target="http://www.profprokat.ru/content/view/1321/76/" TargetMode="External" /><Relationship Id="rId710" Type="http://schemas.openxmlformats.org/officeDocument/2006/relationships/hyperlink" Target="http://www.profprokat.ru/content/view/727/76/" TargetMode="External" /><Relationship Id="rId711" Type="http://schemas.openxmlformats.org/officeDocument/2006/relationships/hyperlink" Target="http://www.profprokat.ru/content/view/490/72/" TargetMode="External" /><Relationship Id="rId712" Type="http://schemas.openxmlformats.org/officeDocument/2006/relationships/hyperlink" Target="http://www.profprokat.ru/content/view/490/72/" TargetMode="External" /><Relationship Id="rId713" Type="http://schemas.openxmlformats.org/officeDocument/2006/relationships/hyperlink" Target="http://www.profprokat.ru/content/view/877/74/" TargetMode="External" /><Relationship Id="rId714" Type="http://schemas.openxmlformats.org/officeDocument/2006/relationships/hyperlink" Target="http://www.profprokat.ru/content/view/490/72/" TargetMode="External" /><Relationship Id="rId715" Type="http://schemas.openxmlformats.org/officeDocument/2006/relationships/hyperlink" Target="http://www.profprokat.ru/content/view/692/75/" TargetMode="External" /><Relationship Id="rId716" Type="http://schemas.openxmlformats.org/officeDocument/2006/relationships/hyperlink" Target="http://www.profprokat.ru/content/view/692/75/" TargetMode="External" /><Relationship Id="rId717" Type="http://schemas.openxmlformats.org/officeDocument/2006/relationships/hyperlink" Target="http://www.profprokat.ru/content/view/1300/76/" TargetMode="External" /><Relationship Id="rId718" Type="http://schemas.openxmlformats.org/officeDocument/2006/relationships/hyperlink" Target="http://www.profprokat.ru/content/view/276/8/" TargetMode="External" /><Relationship Id="rId719" Type="http://schemas.openxmlformats.org/officeDocument/2006/relationships/hyperlink" Target="http://www.profprokat.ru/content/view/678/75/" TargetMode="External" /><Relationship Id="rId720" Type="http://schemas.openxmlformats.org/officeDocument/2006/relationships/hyperlink" Target="http://www.profprokat.ru/content/view/750/76/" TargetMode="External" /><Relationship Id="rId721" Type="http://schemas.openxmlformats.org/officeDocument/2006/relationships/hyperlink" Target="http://www.profprokat.ru/content/view/1288/75/" TargetMode="External" /><Relationship Id="rId722" Type="http://schemas.openxmlformats.org/officeDocument/2006/relationships/hyperlink" Target="http://www.profprokat.ru/content/view/1288/75/" TargetMode="External" /><Relationship Id="rId723" Type="http://schemas.openxmlformats.org/officeDocument/2006/relationships/hyperlink" Target="http://www.profprokat.ru/content/view/678/75/" TargetMode="External" /><Relationship Id="rId724" Type="http://schemas.openxmlformats.org/officeDocument/2006/relationships/hyperlink" Target="http://www.profprokat.ru/content/view/181/52/" TargetMode="External" /><Relationship Id="rId725" Type="http://schemas.openxmlformats.org/officeDocument/2006/relationships/hyperlink" Target="http://www.profprokat.ru/content/view/1300/76/" TargetMode="External" /><Relationship Id="rId726" Type="http://schemas.openxmlformats.org/officeDocument/2006/relationships/hyperlink" Target="http://www.profprokat.ru/content/view/443/72/" TargetMode="External" /><Relationship Id="rId727" Type="http://schemas.openxmlformats.org/officeDocument/2006/relationships/hyperlink" Target="http://www.profprokat.ru/content/view/731/76/" TargetMode="External" /><Relationship Id="rId728" Type="http://schemas.openxmlformats.org/officeDocument/2006/relationships/hyperlink" Target="http://www.profprokat.ru/content/view/727/76/" TargetMode="External" /><Relationship Id="rId729" Type="http://schemas.openxmlformats.org/officeDocument/2006/relationships/hyperlink" Target="http://www.profprokat.ru/content/view/765/76/" TargetMode="External" /><Relationship Id="rId730" Type="http://schemas.openxmlformats.org/officeDocument/2006/relationships/hyperlink" Target="http://www.profprokat.ru/content/view/1288/75/" TargetMode="External" /><Relationship Id="rId731" Type="http://schemas.openxmlformats.org/officeDocument/2006/relationships/hyperlink" Target="http://www.profprokat.ru/content/view/241/8/" TargetMode="External" /><Relationship Id="rId732" Type="http://schemas.openxmlformats.org/officeDocument/2006/relationships/hyperlink" Target="http://www.profprokat.ru/content/view/735/76/" TargetMode="External" /><Relationship Id="rId733" Type="http://schemas.openxmlformats.org/officeDocument/2006/relationships/hyperlink" Target="http://www.profprokat.ru/content/view/735/76/" TargetMode="External" /><Relationship Id="rId734" Type="http://schemas.openxmlformats.org/officeDocument/2006/relationships/hyperlink" Target="http://www.profprokat.ru/content/view/277/8/" TargetMode="External" /><Relationship Id="rId735" Type="http://schemas.openxmlformats.org/officeDocument/2006/relationships/hyperlink" Target="http://www.profprokat.ru/content/view/277/8/" TargetMode="External" /><Relationship Id="rId736" Type="http://schemas.openxmlformats.org/officeDocument/2006/relationships/hyperlink" Target="http://www.profprokat.ru/content/view/169/52/" TargetMode="External" /><Relationship Id="rId737" Type="http://schemas.openxmlformats.org/officeDocument/2006/relationships/hyperlink" Target="http://www.profprokat.ru/content/view/169/52/" TargetMode="External" /><Relationship Id="rId738" Type="http://schemas.openxmlformats.org/officeDocument/2006/relationships/hyperlink" Target="http://www.profprokat.ru/content/view/169/52/" TargetMode="External" /><Relationship Id="rId739" Type="http://schemas.openxmlformats.org/officeDocument/2006/relationships/hyperlink" Target="http://www.profprokat.ru/content/view/169/52/" TargetMode="External" /><Relationship Id="rId740" Type="http://schemas.openxmlformats.org/officeDocument/2006/relationships/hyperlink" Target="http://www.profprokat.ru/content/view/169/52/" TargetMode="External" /><Relationship Id="rId741" Type="http://schemas.openxmlformats.org/officeDocument/2006/relationships/hyperlink" Target="http://www.profprokat.ru/content/view/727/76/" TargetMode="External" /><Relationship Id="rId742" Type="http://schemas.openxmlformats.org/officeDocument/2006/relationships/hyperlink" Target="http://www.profprokat.ru/content/view/692/75/" TargetMode="External" /><Relationship Id="rId743" Type="http://schemas.openxmlformats.org/officeDocument/2006/relationships/hyperlink" Target="http://www.profprokat.ru/content/view/490/72/" TargetMode="External" /><Relationship Id="rId744" Type="http://schemas.openxmlformats.org/officeDocument/2006/relationships/hyperlink" Target="http://www.profprokat.ru/content/view/490/72/" TargetMode="External" /><Relationship Id="rId745" Type="http://schemas.openxmlformats.org/officeDocument/2006/relationships/hyperlink" Target="http://www.profprokat.ru/content/view/766/76/" TargetMode="External" /><Relationship Id="rId746" Type="http://schemas.openxmlformats.org/officeDocument/2006/relationships/hyperlink" Target="http://www.profprokat.ru/content/view/769/76/" TargetMode="External" /><Relationship Id="rId747" Type="http://schemas.openxmlformats.org/officeDocument/2006/relationships/hyperlink" Target="http://www.profprokat.ru/content/view/169/52/" TargetMode="External" /><Relationship Id="rId748" Type="http://schemas.openxmlformats.org/officeDocument/2006/relationships/hyperlink" Target="http://www.profprokat.ru/content/view/169/52/" TargetMode="External" /><Relationship Id="rId749" Type="http://schemas.openxmlformats.org/officeDocument/2006/relationships/hyperlink" Target="http://www.profprokat.ru/content/view/1315/76/" TargetMode="External" /><Relationship Id="rId750" Type="http://schemas.openxmlformats.org/officeDocument/2006/relationships/hyperlink" Target="http://www.profprokat.ru/content/view/754/76/" TargetMode="External" /><Relationship Id="rId751" Type="http://schemas.openxmlformats.org/officeDocument/2006/relationships/hyperlink" Target="http://www.profprokat.ru/content/view/742/76/" TargetMode="External" /><Relationship Id="rId752" Type="http://schemas.openxmlformats.org/officeDocument/2006/relationships/hyperlink" Target="http://www.profprokat.ru/content/view/241/8/" TargetMode="External" /><Relationship Id="rId753" Type="http://schemas.openxmlformats.org/officeDocument/2006/relationships/hyperlink" Target="http://www.profprokat.ru/content/view/241/8/" TargetMode="External" /><Relationship Id="rId754" Type="http://schemas.openxmlformats.org/officeDocument/2006/relationships/hyperlink" Target="http://www.profprokat.ru/content/view/241/8/" TargetMode="External" /><Relationship Id="rId755" Type="http://schemas.openxmlformats.org/officeDocument/2006/relationships/hyperlink" Target="http://www.profprokat.ru/content/view/169/52/" TargetMode="External" /><Relationship Id="rId756" Type="http://schemas.openxmlformats.org/officeDocument/2006/relationships/hyperlink" Target="http://www.profprokat.ru/content/view/169/52/" TargetMode="External" /><Relationship Id="rId757" Type="http://schemas.openxmlformats.org/officeDocument/2006/relationships/hyperlink" Target="http://www.profprokat.ru/content/view/169/52/" TargetMode="External" /><Relationship Id="rId758" Type="http://schemas.openxmlformats.org/officeDocument/2006/relationships/hyperlink" Target="http://www.profprokat.ru/content/view/169/52/" TargetMode="External" /><Relationship Id="rId759" Type="http://schemas.openxmlformats.org/officeDocument/2006/relationships/hyperlink" Target="http://www.profprokat.ru/content/view/169/52/" TargetMode="External" /><Relationship Id="rId760" Type="http://schemas.openxmlformats.org/officeDocument/2006/relationships/hyperlink" Target="http://www.profprokat.ru/content/view/727/76/" TargetMode="External" /><Relationship Id="rId761" Type="http://schemas.openxmlformats.org/officeDocument/2006/relationships/hyperlink" Target="http://www.profprokat.ru/content/view/727/76/" TargetMode="External" /><Relationship Id="rId762" Type="http://schemas.openxmlformats.org/officeDocument/2006/relationships/hyperlink" Target="http://www.profprokat.ru/content/view/754/76/" TargetMode="External" /><Relationship Id="rId763" Type="http://schemas.openxmlformats.org/officeDocument/2006/relationships/hyperlink" Target="http://www.profprokat.ru/content/view/727/76/" TargetMode="External" /><Relationship Id="rId764" Type="http://schemas.openxmlformats.org/officeDocument/2006/relationships/hyperlink" Target="http://www.profprokat.ru/content/view/167/52/" TargetMode="External" /><Relationship Id="rId765" Type="http://schemas.openxmlformats.org/officeDocument/2006/relationships/hyperlink" Target="http://www.profprokat.ru/content/view/139/52/" TargetMode="External" /><Relationship Id="rId766" Type="http://schemas.openxmlformats.org/officeDocument/2006/relationships/hyperlink" Target="http://www.profprokat.ru/content/view/754/76/" TargetMode="External" /><Relationship Id="rId767" Type="http://schemas.openxmlformats.org/officeDocument/2006/relationships/hyperlink" Target="http://www.profprokat.ru/content/view/1320/75/" TargetMode="External" /><Relationship Id="rId768" Type="http://schemas.openxmlformats.org/officeDocument/2006/relationships/hyperlink" Target="http://www.profprokat.ru/content/view/692/75/" TargetMode="External" /><Relationship Id="rId769" Type="http://schemas.openxmlformats.org/officeDocument/2006/relationships/hyperlink" Target="http://www.profprokat.ru/content/view/1317/75/" TargetMode="External" /><Relationship Id="rId770" Type="http://schemas.openxmlformats.org/officeDocument/2006/relationships/drawing" Target="../drawings/drawing1.xml" /><Relationship Id="rId7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N1122"/>
  <sheetViews>
    <sheetView tabSelected="1" view="pageBreakPreview" zoomScaleSheetLayoutView="100" workbookViewId="0" topLeftCell="A1">
      <pane ySplit="11" topLeftCell="BM12" activePane="bottomLeft" state="frozen"/>
      <selection pane="topLeft" activeCell="A1" sqref="A1"/>
      <selection pane="bottomLeft" activeCell="S799" sqref="S799"/>
    </sheetView>
  </sheetViews>
  <sheetFormatPr defaultColWidth="9.00390625" defaultRowHeight="12.75"/>
  <cols>
    <col min="1" max="1" width="31.625" style="7" customWidth="1"/>
    <col min="2" max="2" width="29.25390625" style="8" customWidth="1"/>
    <col min="3" max="3" width="15.125" style="1" customWidth="1"/>
    <col min="4" max="4" width="6.00390625" style="1" customWidth="1"/>
    <col min="5" max="5" width="10.25390625" style="1" customWidth="1"/>
    <col min="6" max="6" width="13.375" style="9" customWidth="1"/>
    <col min="7" max="7" width="58.625" style="10" customWidth="1"/>
    <col min="8" max="10" width="9.125" style="1" hidden="1" customWidth="1"/>
    <col min="11" max="11" width="9.375" style="1" customWidth="1"/>
    <col min="12" max="16384" width="9.125" style="1" customWidth="1"/>
  </cols>
  <sheetData>
    <row r="1" spans="1:10" ht="11.25">
      <c r="A1" s="15"/>
      <c r="B1" s="12"/>
      <c r="C1" s="13"/>
      <c r="D1" s="13"/>
      <c r="E1" s="13"/>
      <c r="F1" s="14"/>
      <c r="G1" s="11"/>
      <c r="H1" s="13"/>
      <c r="I1" s="13"/>
      <c r="J1" s="13"/>
    </row>
    <row r="2" spans="1:10" ht="3.75" customHeight="1">
      <c r="A2"/>
      <c r="B2" s="12"/>
      <c r="C2" s="13"/>
      <c r="D2" s="13"/>
      <c r="E2" s="13"/>
      <c r="F2" s="14"/>
      <c r="G2" s="11"/>
      <c r="H2" s="13"/>
      <c r="I2" s="13"/>
      <c r="J2" s="13"/>
    </row>
    <row r="3" spans="1:10" ht="18" customHeight="1">
      <c r="A3" s="16"/>
      <c r="B3" s="12"/>
      <c r="C3" s="101" t="s">
        <v>21</v>
      </c>
      <c r="D3" s="101"/>
      <c r="E3" s="101"/>
      <c r="F3" s="101"/>
      <c r="G3" s="101"/>
      <c r="H3" s="13"/>
      <c r="I3" s="13"/>
      <c r="J3" s="13"/>
    </row>
    <row r="4" spans="1:10" ht="18">
      <c r="A4" s="17"/>
      <c r="B4" s="12"/>
      <c r="C4" s="101" t="s">
        <v>505</v>
      </c>
      <c r="D4" s="101"/>
      <c r="E4" s="101"/>
      <c r="F4" s="101"/>
      <c r="G4" s="101"/>
      <c r="H4" s="13"/>
      <c r="I4" s="13"/>
      <c r="J4" s="13"/>
    </row>
    <row r="5" spans="1:10" ht="18">
      <c r="A5" s="17"/>
      <c r="B5" s="12"/>
      <c r="C5" s="101" t="s">
        <v>22</v>
      </c>
      <c r="D5" s="101"/>
      <c r="E5" s="101"/>
      <c r="F5" s="101"/>
      <c r="G5" s="101"/>
      <c r="H5" s="13"/>
      <c r="I5" s="13"/>
      <c r="J5" s="13"/>
    </row>
    <row r="6" spans="1:10" ht="15.75">
      <c r="A6" s="17"/>
      <c r="B6" s="12"/>
      <c r="C6" s="102" t="s">
        <v>49</v>
      </c>
      <c r="D6" s="102"/>
      <c r="E6" s="102"/>
      <c r="F6" s="102"/>
      <c r="G6" s="102"/>
      <c r="H6" s="13"/>
      <c r="I6" s="13"/>
      <c r="J6" s="13"/>
    </row>
    <row r="7" spans="1:10" ht="15">
      <c r="A7" s="17"/>
      <c r="B7" s="12"/>
      <c r="C7" s="103" t="s">
        <v>48</v>
      </c>
      <c r="D7" s="103"/>
      <c r="E7" s="103"/>
      <c r="F7" s="103"/>
      <c r="G7" s="103"/>
      <c r="H7" s="13"/>
      <c r="I7" s="13"/>
      <c r="J7" s="13"/>
    </row>
    <row r="8" spans="1:10" ht="15" customHeight="1">
      <c r="A8" s="17"/>
      <c r="B8" s="12"/>
      <c r="C8" s="13"/>
      <c r="D8" s="13"/>
      <c r="E8" s="13"/>
      <c r="F8" s="14"/>
      <c r="G8" s="99">
        <v>43255</v>
      </c>
      <c r="H8" s="100"/>
      <c r="I8" s="100"/>
      <c r="J8" s="100"/>
    </row>
    <row r="9" spans="1:10" ht="15">
      <c r="A9" s="18"/>
      <c r="B9" s="12"/>
      <c r="C9" s="13"/>
      <c r="D9" s="13"/>
      <c r="E9" s="13"/>
      <c r="F9" s="14"/>
      <c r="G9" s="11"/>
      <c r="H9" s="13"/>
      <c r="I9" s="13"/>
      <c r="J9" s="13"/>
    </row>
    <row r="10" spans="1:10" ht="12" thickBot="1">
      <c r="A10" s="11"/>
      <c r="B10" s="12"/>
      <c r="C10" s="13"/>
      <c r="D10" s="13"/>
      <c r="E10" s="13"/>
      <c r="F10" s="14"/>
      <c r="G10" s="11"/>
      <c r="H10" s="13"/>
      <c r="I10" s="13"/>
      <c r="J10" s="13"/>
    </row>
    <row r="11" spans="1:10" ht="22.5">
      <c r="A11" s="50" t="s">
        <v>6</v>
      </c>
      <c r="B11" s="51" t="s">
        <v>7</v>
      </c>
      <c r="C11" s="52" t="s">
        <v>0</v>
      </c>
      <c r="D11" s="53" t="s">
        <v>4</v>
      </c>
      <c r="E11" s="52" t="s">
        <v>5</v>
      </c>
      <c r="F11" s="54" t="s">
        <v>3</v>
      </c>
      <c r="G11" s="55" t="s">
        <v>12</v>
      </c>
      <c r="H11" s="56"/>
      <c r="I11" s="56"/>
      <c r="J11" s="56"/>
    </row>
    <row r="12" spans="1:10" s="4" customFormat="1" ht="12.75">
      <c r="A12" s="2" t="s">
        <v>2</v>
      </c>
      <c r="B12" s="20" t="s">
        <v>171</v>
      </c>
      <c r="C12" s="2">
        <v>1.01</v>
      </c>
      <c r="D12" s="2" t="s">
        <v>8</v>
      </c>
      <c r="E12" s="25">
        <f>(159-1)/1000</f>
        <v>0.158</v>
      </c>
      <c r="F12" s="24">
        <v>960000</v>
      </c>
      <c r="G12" s="36" t="s">
        <v>232</v>
      </c>
      <c r="H12" s="6"/>
      <c r="I12" s="6"/>
      <c r="J12" s="6"/>
    </row>
    <row r="13" spans="1:10" s="4" customFormat="1" ht="12.75">
      <c r="A13" s="2" t="s">
        <v>2</v>
      </c>
      <c r="B13" s="27" t="s">
        <v>216</v>
      </c>
      <c r="C13" s="2">
        <v>1.4</v>
      </c>
      <c r="D13" s="2" t="s">
        <v>8</v>
      </c>
      <c r="E13" s="25">
        <f>0.015</f>
        <v>0.015</v>
      </c>
      <c r="F13" s="24">
        <v>640000</v>
      </c>
      <c r="G13" s="36"/>
      <c r="H13" s="5"/>
      <c r="I13" s="5"/>
      <c r="J13" s="5"/>
    </row>
    <row r="14" spans="1:10" s="4" customFormat="1" ht="12.75">
      <c r="A14" s="2" t="s">
        <v>2</v>
      </c>
      <c r="B14" s="30" t="s">
        <v>88</v>
      </c>
      <c r="C14" s="2">
        <v>2</v>
      </c>
      <c r="D14" s="2" t="s">
        <v>8</v>
      </c>
      <c r="E14" s="25">
        <v>0.01</v>
      </c>
      <c r="F14" s="24">
        <v>1500000</v>
      </c>
      <c r="G14" s="36"/>
      <c r="H14" s="6"/>
      <c r="I14" s="6"/>
      <c r="J14" s="6"/>
    </row>
    <row r="15" spans="1:10" s="4" customFormat="1" ht="12.75">
      <c r="A15" s="2" t="s">
        <v>2</v>
      </c>
      <c r="B15" s="27" t="s">
        <v>216</v>
      </c>
      <c r="C15" s="2">
        <v>2.25</v>
      </c>
      <c r="D15" s="2" t="s">
        <v>8</v>
      </c>
      <c r="E15" s="25">
        <f>0.014</f>
        <v>0.014</v>
      </c>
      <c r="F15" s="24">
        <v>525000</v>
      </c>
      <c r="G15" s="36"/>
      <c r="H15" s="5"/>
      <c r="I15" s="5"/>
      <c r="J15" s="5"/>
    </row>
    <row r="16" spans="1:10" ht="12.75">
      <c r="A16" s="2" t="s">
        <v>2</v>
      </c>
      <c r="B16" s="20" t="s">
        <v>171</v>
      </c>
      <c r="C16" s="2">
        <v>2.6</v>
      </c>
      <c r="D16" s="2" t="s">
        <v>8</v>
      </c>
      <c r="E16" s="25">
        <f>0.053-0.04</f>
        <v>0.012999999999999998</v>
      </c>
      <c r="F16" s="24">
        <v>825000</v>
      </c>
      <c r="G16" s="36" t="s">
        <v>162</v>
      </c>
      <c r="H16" s="6"/>
      <c r="I16" s="6"/>
      <c r="J16" s="6"/>
    </row>
    <row r="17" spans="1:10" ht="12.75">
      <c r="A17" s="2" t="s">
        <v>2</v>
      </c>
      <c r="B17" s="23" t="s">
        <v>81</v>
      </c>
      <c r="C17" s="24">
        <v>3</v>
      </c>
      <c r="D17" s="2" t="s">
        <v>8</v>
      </c>
      <c r="E17" s="2">
        <f>(144-10)/1000</f>
        <v>0.134</v>
      </c>
      <c r="F17" s="45">
        <v>730000</v>
      </c>
      <c r="G17" s="36" t="s">
        <v>265</v>
      </c>
      <c r="H17" s="37"/>
      <c r="I17" s="37"/>
      <c r="J17" s="37"/>
    </row>
    <row r="18" spans="1:10" ht="12.75">
      <c r="A18" s="2" t="s">
        <v>2</v>
      </c>
      <c r="B18" s="27" t="s">
        <v>210</v>
      </c>
      <c r="C18" s="24">
        <v>3.2</v>
      </c>
      <c r="D18" s="2" t="s">
        <v>8</v>
      </c>
      <c r="E18" s="2">
        <f>0.086-0.02-0.027-0.011</f>
        <v>0.027999999999999994</v>
      </c>
      <c r="F18" s="24">
        <v>900000</v>
      </c>
      <c r="G18" s="36" t="s">
        <v>370</v>
      </c>
      <c r="H18" s="6"/>
      <c r="I18" s="6"/>
      <c r="J18" s="6"/>
    </row>
    <row r="19" spans="1:10" ht="12.75">
      <c r="A19" s="2" t="s">
        <v>2</v>
      </c>
      <c r="B19" s="30" t="s">
        <v>88</v>
      </c>
      <c r="C19" s="2">
        <v>3.5</v>
      </c>
      <c r="D19" s="2" t="s">
        <v>8</v>
      </c>
      <c r="E19" s="25">
        <f>0.0365-0.005-0.02</f>
        <v>0.0115</v>
      </c>
      <c r="F19" s="24">
        <v>1500000</v>
      </c>
      <c r="H19" s="5"/>
      <c r="I19" s="5"/>
      <c r="J19" s="5"/>
    </row>
    <row r="20" spans="1:10" s="4" customFormat="1" ht="12.75">
      <c r="A20" s="2" t="s">
        <v>2</v>
      </c>
      <c r="B20" s="23" t="s">
        <v>81</v>
      </c>
      <c r="C20" s="24">
        <v>4</v>
      </c>
      <c r="D20" s="2" t="s">
        <v>8</v>
      </c>
      <c r="E20" s="2">
        <f>(175-10-100)/1000</f>
        <v>0.065</v>
      </c>
      <c r="F20" s="45">
        <v>730000</v>
      </c>
      <c r="G20" s="36" t="s">
        <v>265</v>
      </c>
      <c r="H20" s="37"/>
      <c r="I20" s="37"/>
      <c r="J20" s="37"/>
    </row>
    <row r="21" spans="1:10" s="4" customFormat="1" ht="12.75">
      <c r="A21" s="2" t="s">
        <v>2</v>
      </c>
      <c r="B21" s="92" t="s">
        <v>88</v>
      </c>
      <c r="C21" s="2">
        <v>4.5</v>
      </c>
      <c r="D21" s="2" t="s">
        <v>8</v>
      </c>
      <c r="E21" s="25">
        <f>0.038-0.01</f>
        <v>0.027999999999999997</v>
      </c>
      <c r="F21" s="45">
        <v>1500000</v>
      </c>
      <c r="G21" s="36"/>
      <c r="H21" s="5"/>
      <c r="I21" s="5"/>
      <c r="J21" s="5"/>
    </row>
    <row r="22" spans="1:10" s="4" customFormat="1" ht="12.75">
      <c r="A22" s="2" t="s">
        <v>2</v>
      </c>
      <c r="B22" s="27" t="s">
        <v>216</v>
      </c>
      <c r="C22" s="82">
        <v>5</v>
      </c>
      <c r="D22" s="2" t="s">
        <v>8</v>
      </c>
      <c r="E22" s="25">
        <v>0.0095</v>
      </c>
      <c r="F22" s="45">
        <v>680000</v>
      </c>
      <c r="G22" s="36"/>
      <c r="H22" s="5" t="s">
        <v>284</v>
      </c>
      <c r="I22" s="58">
        <v>43203</v>
      </c>
      <c r="J22" s="39"/>
    </row>
    <row r="23" spans="1:10" s="4" customFormat="1" ht="12.75">
      <c r="A23" s="2" t="s">
        <v>2</v>
      </c>
      <c r="B23" s="27" t="s">
        <v>177</v>
      </c>
      <c r="C23" s="24">
        <v>5</v>
      </c>
      <c r="D23" s="2" t="s">
        <v>8</v>
      </c>
      <c r="E23" s="25">
        <f>(102+98-2-5-50+29)/1000</f>
        <v>0.172</v>
      </c>
      <c r="F23" s="45">
        <v>540000</v>
      </c>
      <c r="G23" s="36" t="s">
        <v>474</v>
      </c>
      <c r="H23" s="6"/>
      <c r="I23" s="6"/>
      <c r="J23" s="6"/>
    </row>
    <row r="24" spans="1:10" ht="12.75">
      <c r="A24" s="2" t="s">
        <v>2</v>
      </c>
      <c r="B24" s="27" t="s">
        <v>210</v>
      </c>
      <c r="C24" s="24">
        <v>5</v>
      </c>
      <c r="D24" s="2" t="s">
        <v>8</v>
      </c>
      <c r="E24" s="2">
        <f>(380-85-2-20-50-10)/1000</f>
        <v>0.213</v>
      </c>
      <c r="F24" s="45">
        <v>600000</v>
      </c>
      <c r="G24" s="36" t="s">
        <v>485</v>
      </c>
      <c r="H24" s="6"/>
      <c r="I24" s="6"/>
      <c r="J24" s="6"/>
    </row>
    <row r="25" spans="1:10" ht="12.75">
      <c r="A25" s="2" t="s">
        <v>2</v>
      </c>
      <c r="B25" s="27" t="s">
        <v>216</v>
      </c>
      <c r="C25" s="82">
        <v>5.5</v>
      </c>
      <c r="D25" s="2" t="s">
        <v>8</v>
      </c>
      <c r="E25" s="25">
        <f>(13.6/1000)</f>
        <v>0.0136</v>
      </c>
      <c r="F25" s="45">
        <v>680000</v>
      </c>
      <c r="G25" s="36"/>
      <c r="H25" s="6"/>
      <c r="I25" s="6"/>
      <c r="J25" s="6"/>
    </row>
    <row r="26" spans="1:10" ht="12.75">
      <c r="A26" s="2" t="s">
        <v>2</v>
      </c>
      <c r="B26" s="23" t="s">
        <v>81</v>
      </c>
      <c r="C26" s="24">
        <v>6</v>
      </c>
      <c r="D26" s="2" t="s">
        <v>8</v>
      </c>
      <c r="E26" s="2">
        <f>CEILING(((160+86-20-100-50-3.5-15)/1000),0.001)</f>
        <v>0.058</v>
      </c>
      <c r="F26" s="45">
        <v>730000</v>
      </c>
      <c r="G26" s="36" t="s">
        <v>265</v>
      </c>
      <c r="H26" s="37"/>
      <c r="I26" s="37"/>
      <c r="J26" s="37"/>
    </row>
    <row r="27" spans="1:10" ht="12.75">
      <c r="A27" s="2" t="s">
        <v>2</v>
      </c>
      <c r="B27" s="20" t="s">
        <v>175</v>
      </c>
      <c r="C27" s="24">
        <v>6</v>
      </c>
      <c r="D27" s="2" t="s">
        <v>8</v>
      </c>
      <c r="E27" s="2">
        <f>(50-2-5)/1000</f>
        <v>0.043</v>
      </c>
      <c r="F27" s="45">
        <v>490000</v>
      </c>
      <c r="G27" s="36" t="s">
        <v>305</v>
      </c>
      <c r="H27" s="6"/>
      <c r="I27" s="6"/>
      <c r="J27" s="6"/>
    </row>
    <row r="28" spans="1:10" s="4" customFormat="1" ht="12.75">
      <c r="A28" s="2" t="s">
        <v>2</v>
      </c>
      <c r="B28" s="27" t="s">
        <v>216</v>
      </c>
      <c r="C28" s="82">
        <v>6</v>
      </c>
      <c r="D28" s="2" t="s">
        <v>8</v>
      </c>
      <c r="E28" s="25">
        <f>37.5/1000</f>
        <v>0.0375</v>
      </c>
      <c r="F28" s="45">
        <v>680000</v>
      </c>
      <c r="G28" s="36"/>
      <c r="H28" s="6"/>
      <c r="I28" s="6"/>
      <c r="J28" s="6"/>
    </row>
    <row r="29" spans="1:10" s="4" customFormat="1" ht="12.75">
      <c r="A29" s="2" t="s">
        <v>2</v>
      </c>
      <c r="B29" s="30" t="s">
        <v>88</v>
      </c>
      <c r="C29" s="24">
        <v>6</v>
      </c>
      <c r="D29" s="2" t="s">
        <v>8</v>
      </c>
      <c r="E29" s="25">
        <f>0.226-0.004-0.08-0.023-0.031-0.022</f>
        <v>0.06600000000000003</v>
      </c>
      <c r="F29" s="45">
        <v>1500000</v>
      </c>
      <c r="G29" s="10"/>
      <c r="H29" s="5"/>
      <c r="I29" s="5"/>
      <c r="J29" s="5"/>
    </row>
    <row r="30" spans="1:10" ht="12.75">
      <c r="A30" s="2" t="s">
        <v>2</v>
      </c>
      <c r="B30" s="27" t="s">
        <v>210</v>
      </c>
      <c r="C30" s="24">
        <v>6</v>
      </c>
      <c r="D30" s="2" t="s">
        <v>8</v>
      </c>
      <c r="E30" s="2">
        <f>(370-10-3-10-10)/1000</f>
        <v>0.337</v>
      </c>
      <c r="F30" s="45">
        <v>600000</v>
      </c>
      <c r="G30" s="36" t="s">
        <v>485</v>
      </c>
      <c r="H30" s="6"/>
      <c r="I30" s="6"/>
      <c r="J30" s="6"/>
    </row>
    <row r="31" spans="1:10" ht="12.75">
      <c r="A31" s="2" t="s">
        <v>2</v>
      </c>
      <c r="B31" s="20" t="s">
        <v>210</v>
      </c>
      <c r="C31" s="2">
        <v>6.5</v>
      </c>
      <c r="D31" s="2" t="s">
        <v>8</v>
      </c>
      <c r="E31" s="25">
        <v>0.02</v>
      </c>
      <c r="F31" s="45" t="s">
        <v>565</v>
      </c>
      <c r="G31" s="36" t="s">
        <v>544</v>
      </c>
      <c r="H31" s="6"/>
      <c r="I31" s="6"/>
      <c r="J31" s="6"/>
    </row>
    <row r="32" spans="1:10" s="4" customFormat="1" ht="12.75">
      <c r="A32" s="2" t="s">
        <v>2</v>
      </c>
      <c r="B32" s="20" t="s">
        <v>175</v>
      </c>
      <c r="C32" s="24">
        <v>7</v>
      </c>
      <c r="D32" s="2" t="s">
        <v>8</v>
      </c>
      <c r="E32" s="2">
        <f>0.274-0.125</f>
        <v>0.14900000000000002</v>
      </c>
      <c r="F32" s="45">
        <v>490000</v>
      </c>
      <c r="G32" s="36" t="s">
        <v>232</v>
      </c>
      <c r="H32" s="6"/>
      <c r="I32" s="6"/>
      <c r="J32" s="6"/>
    </row>
    <row r="33" spans="1:10" ht="12.75">
      <c r="A33" s="2" t="s">
        <v>2</v>
      </c>
      <c r="B33" s="27" t="s">
        <v>216</v>
      </c>
      <c r="C33" s="82">
        <v>7.5</v>
      </c>
      <c r="D33" s="2" t="s">
        <v>8</v>
      </c>
      <c r="E33" s="25">
        <f>47.8/1000</f>
        <v>0.047799999999999995</v>
      </c>
      <c r="F33" s="45">
        <v>680000</v>
      </c>
      <c r="G33" s="36"/>
      <c r="H33" s="6"/>
      <c r="I33" s="6"/>
      <c r="J33" s="6"/>
    </row>
    <row r="34" spans="1:10" ht="12.75">
      <c r="A34" s="2" t="s">
        <v>2</v>
      </c>
      <c r="B34" s="27" t="s">
        <v>177</v>
      </c>
      <c r="C34" s="2">
        <v>7.5</v>
      </c>
      <c r="D34" s="2" t="s">
        <v>8</v>
      </c>
      <c r="E34" s="25">
        <f>0.255-0.018-0.015-0.117</f>
        <v>0.10500000000000002</v>
      </c>
      <c r="F34" s="45">
        <v>430000</v>
      </c>
      <c r="G34" s="36" t="s">
        <v>133</v>
      </c>
      <c r="H34" s="6"/>
      <c r="I34" s="6"/>
      <c r="J34" s="6"/>
    </row>
    <row r="35" spans="1:10" s="4" customFormat="1" ht="12.75">
      <c r="A35" s="2" t="s">
        <v>2</v>
      </c>
      <c r="B35" s="23" t="s">
        <v>81</v>
      </c>
      <c r="C35" s="24">
        <v>8</v>
      </c>
      <c r="D35" s="2" t="s">
        <v>8</v>
      </c>
      <c r="E35" s="2">
        <f>CEILING(((355-40-40-1-3.5-39.8-15.3)/1000),0.001)</f>
        <v>0.216</v>
      </c>
      <c r="F35" s="45">
        <v>730000</v>
      </c>
      <c r="G35" s="36" t="s">
        <v>265</v>
      </c>
      <c r="H35" s="37"/>
      <c r="I35" s="37"/>
      <c r="J35" s="37"/>
    </row>
    <row r="36" spans="1:10" s="4" customFormat="1" ht="12.75">
      <c r="A36" s="2" t="s">
        <v>2</v>
      </c>
      <c r="B36" s="27" t="s">
        <v>277</v>
      </c>
      <c r="C36" s="2">
        <v>8</v>
      </c>
      <c r="D36" s="2" t="s">
        <v>8</v>
      </c>
      <c r="E36" s="2">
        <f>0.46-0.008-0.025-0.006-0.01-0.034</f>
        <v>0.377</v>
      </c>
      <c r="F36" s="45">
        <v>180000</v>
      </c>
      <c r="G36" s="36" t="s">
        <v>235</v>
      </c>
      <c r="H36" s="6"/>
      <c r="I36" s="6"/>
      <c r="J36" s="6"/>
    </row>
    <row r="37" spans="1:10" s="4" customFormat="1" ht="12.75">
      <c r="A37" s="65" t="s">
        <v>2</v>
      </c>
      <c r="B37" s="69" t="s">
        <v>496</v>
      </c>
      <c r="C37" s="65">
        <v>8</v>
      </c>
      <c r="D37" s="65" t="s">
        <v>8</v>
      </c>
      <c r="E37" s="65">
        <v>0.4</v>
      </c>
      <c r="F37" s="67" t="s">
        <v>608</v>
      </c>
      <c r="G37" s="68" t="s">
        <v>546</v>
      </c>
      <c r="H37" s="6"/>
      <c r="I37" s="46"/>
      <c r="J37" s="36"/>
    </row>
    <row r="38" spans="1:10" s="73" customFormat="1" ht="12.75">
      <c r="A38" s="2" t="s">
        <v>2</v>
      </c>
      <c r="B38" s="27" t="s">
        <v>216</v>
      </c>
      <c r="C38" s="2">
        <v>8</v>
      </c>
      <c r="D38" s="2" t="s">
        <v>8</v>
      </c>
      <c r="E38" s="2">
        <v>0.258</v>
      </c>
      <c r="F38" s="45">
        <v>485000</v>
      </c>
      <c r="G38" s="36" t="s">
        <v>424</v>
      </c>
      <c r="H38" s="6"/>
      <c r="I38" s="46"/>
      <c r="J38" s="36"/>
    </row>
    <row r="39" spans="1:10" ht="12.75">
      <c r="A39" s="2" t="s">
        <v>2</v>
      </c>
      <c r="B39" s="92" t="s">
        <v>88</v>
      </c>
      <c r="C39" s="24">
        <v>8</v>
      </c>
      <c r="D39" s="2" t="s">
        <v>8</v>
      </c>
      <c r="E39" s="2">
        <f>0.199+0.027-0.012-0.1</f>
        <v>0.11399999999999999</v>
      </c>
      <c r="F39" s="45">
        <v>1500000</v>
      </c>
      <c r="G39" s="36" t="s">
        <v>335</v>
      </c>
      <c r="H39" s="37" t="s">
        <v>281</v>
      </c>
      <c r="I39" s="37"/>
      <c r="J39" s="6"/>
    </row>
    <row r="40" spans="1:248" ht="12.75">
      <c r="A40" s="2" t="s">
        <v>2</v>
      </c>
      <c r="B40" s="27" t="s">
        <v>213</v>
      </c>
      <c r="C40" s="2">
        <v>8</v>
      </c>
      <c r="D40" s="2" t="s">
        <v>8</v>
      </c>
      <c r="E40" s="2">
        <f>0.15-0.004-0.005-0.027</f>
        <v>0.11399999999999999</v>
      </c>
      <c r="F40" s="45">
        <v>750000</v>
      </c>
      <c r="G40" s="36" t="s">
        <v>38</v>
      </c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10" ht="12.75">
      <c r="A41" s="2" t="s">
        <v>2</v>
      </c>
      <c r="B41" s="27" t="s">
        <v>210</v>
      </c>
      <c r="C41" s="24">
        <v>8</v>
      </c>
      <c r="D41" s="2" t="s">
        <v>8</v>
      </c>
      <c r="E41" s="2">
        <f>(640-30-45-11-5-15-15-20-10-20-85-14-20)/1000</f>
        <v>0.35</v>
      </c>
      <c r="F41" s="45">
        <v>520000</v>
      </c>
      <c r="G41" s="36" t="s">
        <v>485</v>
      </c>
      <c r="H41" s="6"/>
      <c r="I41" s="6"/>
      <c r="J41" s="6"/>
    </row>
    <row r="42" spans="1:10" s="4" customFormat="1" ht="12.75">
      <c r="A42" s="65" t="s">
        <v>2</v>
      </c>
      <c r="B42" s="69" t="s">
        <v>210</v>
      </c>
      <c r="C42" s="74">
        <v>8</v>
      </c>
      <c r="D42" s="65" t="s">
        <v>8</v>
      </c>
      <c r="E42" s="80">
        <v>0.268</v>
      </c>
      <c r="F42" s="67">
        <v>630000</v>
      </c>
      <c r="G42" s="68" t="s">
        <v>597</v>
      </c>
      <c r="H42" s="6"/>
      <c r="I42" s="6"/>
      <c r="J42" s="6"/>
    </row>
    <row r="43" spans="1:10" s="4" customFormat="1" ht="12.75">
      <c r="A43" s="2" t="s">
        <v>2</v>
      </c>
      <c r="B43" s="20" t="s">
        <v>110</v>
      </c>
      <c r="C43" s="2">
        <v>8</v>
      </c>
      <c r="D43" s="2" t="s">
        <v>8</v>
      </c>
      <c r="E43" s="2">
        <f>0.55-0.024</f>
        <v>0.526</v>
      </c>
      <c r="F43" s="45">
        <v>745000</v>
      </c>
      <c r="G43" s="36" t="s">
        <v>144</v>
      </c>
      <c r="H43" s="6"/>
      <c r="I43" s="6"/>
      <c r="J43" s="6"/>
    </row>
    <row r="44" spans="1:10" s="4" customFormat="1" ht="12.75">
      <c r="A44" s="2" t="s">
        <v>2</v>
      </c>
      <c r="B44" s="27" t="s">
        <v>92</v>
      </c>
      <c r="C44" s="2">
        <v>8</v>
      </c>
      <c r="D44" s="2" t="s">
        <v>8</v>
      </c>
      <c r="E44" s="2">
        <f>0.155-0.057-0.05</f>
        <v>0.048</v>
      </c>
      <c r="F44" s="45">
        <v>680000</v>
      </c>
      <c r="G44" s="36" t="s">
        <v>242</v>
      </c>
      <c r="H44" s="6"/>
      <c r="I44" s="6"/>
      <c r="J44" s="6"/>
    </row>
    <row r="45" spans="1:10" s="4" customFormat="1" ht="12.75">
      <c r="A45" s="2" t="s">
        <v>2</v>
      </c>
      <c r="B45" s="27" t="s">
        <v>177</v>
      </c>
      <c r="C45" s="24">
        <v>8.5</v>
      </c>
      <c r="D45" s="2" t="s">
        <v>8</v>
      </c>
      <c r="E45" s="2">
        <f>0.105+0.429+0.007-0.14-0.257</f>
        <v>0.14400000000000002</v>
      </c>
      <c r="F45" s="45">
        <v>430000</v>
      </c>
      <c r="G45" s="36" t="s">
        <v>232</v>
      </c>
      <c r="H45" s="5"/>
      <c r="I45" s="5"/>
      <c r="J45" s="5"/>
    </row>
    <row r="46" spans="1:10" ht="12.75">
      <c r="A46" s="2" t="s">
        <v>2</v>
      </c>
      <c r="B46" s="20" t="s">
        <v>209</v>
      </c>
      <c r="C46" s="24">
        <v>8.5</v>
      </c>
      <c r="D46" s="2" t="s">
        <v>8</v>
      </c>
      <c r="E46" s="2">
        <f>0.15-0.029-0.02</f>
        <v>0.10099999999999999</v>
      </c>
      <c r="F46" s="45">
        <v>690000</v>
      </c>
      <c r="G46" s="36" t="s">
        <v>52</v>
      </c>
      <c r="H46" s="6"/>
      <c r="I46" s="6"/>
      <c r="J46" s="6"/>
    </row>
    <row r="47" spans="1:10" ht="12.75">
      <c r="A47" s="2" t="s">
        <v>2</v>
      </c>
      <c r="B47" s="27" t="s">
        <v>210</v>
      </c>
      <c r="C47" s="24">
        <v>9</v>
      </c>
      <c r="D47" s="2" t="s">
        <v>8</v>
      </c>
      <c r="E47" s="2">
        <f>(380-20-3-16-50-36-30-8-15-25+33-13-21-10)/1000</f>
        <v>0.166</v>
      </c>
      <c r="F47" s="45">
        <v>520000</v>
      </c>
      <c r="G47" s="36" t="s">
        <v>485</v>
      </c>
      <c r="H47" s="6"/>
      <c r="I47" s="6"/>
      <c r="J47" s="6"/>
    </row>
    <row r="48" spans="1:10" s="4" customFormat="1" ht="12.75">
      <c r="A48" s="2" t="s">
        <v>2</v>
      </c>
      <c r="B48" s="23" t="s">
        <v>78</v>
      </c>
      <c r="C48" s="24">
        <v>9.5</v>
      </c>
      <c r="D48" s="2" t="s">
        <v>8</v>
      </c>
      <c r="E48" s="2">
        <v>0.113</v>
      </c>
      <c r="F48" s="45">
        <v>2100000</v>
      </c>
      <c r="G48" s="36" t="s">
        <v>387</v>
      </c>
      <c r="H48" s="6"/>
      <c r="I48" s="6"/>
      <c r="J48" s="6"/>
    </row>
    <row r="49" spans="1:10" ht="12.75">
      <c r="A49" s="2" t="s">
        <v>2</v>
      </c>
      <c r="B49" s="23" t="s">
        <v>81</v>
      </c>
      <c r="C49" s="2">
        <v>10</v>
      </c>
      <c r="D49" s="2" t="s">
        <v>8</v>
      </c>
      <c r="E49" s="2">
        <f>0.2-0.013-0.104</f>
        <v>0.083</v>
      </c>
      <c r="F49" s="45">
        <v>265000</v>
      </c>
      <c r="G49" s="36" t="s">
        <v>391</v>
      </c>
      <c r="H49" s="5"/>
      <c r="I49" s="5"/>
      <c r="J49" s="5"/>
    </row>
    <row r="50" spans="1:10" ht="12.75">
      <c r="A50" s="2" t="s">
        <v>2</v>
      </c>
      <c r="B50" s="20" t="s">
        <v>175</v>
      </c>
      <c r="C50" s="2">
        <v>10</v>
      </c>
      <c r="D50" s="2" t="s">
        <v>8</v>
      </c>
      <c r="E50" s="2">
        <f>0.404-0.02-0.01-0.005-0.025-0.025-0.03-0.094-0.038</f>
        <v>0.15699999999999992</v>
      </c>
      <c r="F50" s="45">
        <v>152000</v>
      </c>
      <c r="G50" s="36" t="s">
        <v>391</v>
      </c>
      <c r="H50" s="5"/>
      <c r="I50" s="5"/>
      <c r="J50" s="5"/>
    </row>
    <row r="51" spans="1:248" s="73" customFormat="1" ht="12.75">
      <c r="A51" s="65" t="s">
        <v>2</v>
      </c>
      <c r="B51" s="69" t="s">
        <v>496</v>
      </c>
      <c r="C51" s="65">
        <v>10</v>
      </c>
      <c r="D51" s="65" t="s">
        <v>8</v>
      </c>
      <c r="E51" s="65">
        <v>0.4</v>
      </c>
      <c r="F51" s="67" t="s">
        <v>609</v>
      </c>
      <c r="G51" s="68" t="s">
        <v>546</v>
      </c>
      <c r="H51" s="6" t="s">
        <v>282</v>
      </c>
      <c r="I51" s="46" t="s">
        <v>547</v>
      </c>
      <c r="J51" s="39">
        <v>630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10" s="4" customFormat="1" ht="12.75">
      <c r="A52" s="2" t="s">
        <v>2</v>
      </c>
      <c r="B52" s="27" t="s">
        <v>216</v>
      </c>
      <c r="C52" s="2">
        <v>10</v>
      </c>
      <c r="D52" s="2" t="s">
        <v>8</v>
      </c>
      <c r="E52" s="25">
        <f>(35+514-10-10-22-2-11-100-12-100+28.6-50)/1000</f>
        <v>0.2606</v>
      </c>
      <c r="F52" s="45">
        <v>417000</v>
      </c>
      <c r="G52" s="36" t="s">
        <v>424</v>
      </c>
      <c r="H52" s="5"/>
      <c r="I52" s="5"/>
      <c r="J52" s="5"/>
    </row>
    <row r="53" spans="1:10" s="4" customFormat="1" ht="12.75">
      <c r="A53" s="65" t="s">
        <v>2</v>
      </c>
      <c r="B53" s="69" t="s">
        <v>216</v>
      </c>
      <c r="C53" s="74">
        <v>10</v>
      </c>
      <c r="D53" s="65" t="s">
        <v>8</v>
      </c>
      <c r="E53" s="65">
        <v>0.219</v>
      </c>
      <c r="F53" s="67">
        <v>540000</v>
      </c>
      <c r="G53" s="68" t="s">
        <v>578</v>
      </c>
      <c r="H53" s="6"/>
      <c r="I53" s="46"/>
      <c r="J53" s="36"/>
    </row>
    <row r="54" spans="1:10" s="4" customFormat="1" ht="12.75">
      <c r="A54" s="2" t="s">
        <v>2</v>
      </c>
      <c r="B54" s="27" t="s">
        <v>215</v>
      </c>
      <c r="C54" s="2">
        <v>10</v>
      </c>
      <c r="D54" s="2" t="s">
        <v>8</v>
      </c>
      <c r="E54" s="2">
        <f>0.13-0.007</f>
        <v>0.123</v>
      </c>
      <c r="F54" s="45">
        <v>620000</v>
      </c>
      <c r="G54" s="36"/>
      <c r="H54" s="6"/>
      <c r="I54" s="6"/>
      <c r="J54" s="6"/>
    </row>
    <row r="55" spans="1:10" ht="12.75">
      <c r="A55" s="2" t="s">
        <v>2</v>
      </c>
      <c r="B55" s="27" t="s">
        <v>177</v>
      </c>
      <c r="C55" s="24">
        <v>10</v>
      </c>
      <c r="D55" s="2" t="s">
        <v>8</v>
      </c>
      <c r="E55" s="2">
        <f>(94-3-10-15-15-25-8)/1000</f>
        <v>0.018</v>
      </c>
      <c r="F55" s="45">
        <v>560000</v>
      </c>
      <c r="G55" s="36" t="s">
        <v>318</v>
      </c>
      <c r="H55" s="37"/>
      <c r="I55" s="37"/>
      <c r="J55" s="37"/>
    </row>
    <row r="56" spans="1:10" ht="12.75">
      <c r="A56" s="2" t="s">
        <v>2</v>
      </c>
      <c r="B56" s="30" t="s">
        <v>88</v>
      </c>
      <c r="C56" s="2">
        <v>10</v>
      </c>
      <c r="D56" s="2" t="s">
        <v>8</v>
      </c>
      <c r="E56" s="2">
        <f>0.304-0.01-0.021-0.044-0.015</f>
        <v>0.21399999999999997</v>
      </c>
      <c r="F56" s="45">
        <v>1500000</v>
      </c>
      <c r="G56" s="36" t="s">
        <v>310</v>
      </c>
      <c r="H56" s="6"/>
      <c r="I56" s="6"/>
      <c r="J56" s="6"/>
    </row>
    <row r="57" spans="1:10" s="4" customFormat="1" ht="12.75">
      <c r="A57" s="2" t="s">
        <v>2</v>
      </c>
      <c r="B57" s="30" t="s">
        <v>88</v>
      </c>
      <c r="C57" s="24">
        <v>10</v>
      </c>
      <c r="D57" s="2" t="s">
        <v>8</v>
      </c>
      <c r="E57" s="2">
        <f>0.25</f>
        <v>0.25</v>
      </c>
      <c r="F57" s="45">
        <v>1500000</v>
      </c>
      <c r="G57" s="36" t="s">
        <v>218</v>
      </c>
      <c r="H57" s="6"/>
      <c r="I57" s="6"/>
      <c r="J57" s="6"/>
    </row>
    <row r="58" spans="1:10" s="4" customFormat="1" ht="12.75">
      <c r="A58" s="2" t="s">
        <v>2</v>
      </c>
      <c r="B58" s="27" t="s">
        <v>210</v>
      </c>
      <c r="C58" s="24">
        <v>10</v>
      </c>
      <c r="D58" s="2" t="s">
        <v>8</v>
      </c>
      <c r="E58" s="2">
        <f>(290-4+360-130-10-16-15-15-30-20-70-20-30-25-100-12)/1000</f>
        <v>0.153</v>
      </c>
      <c r="F58" s="45">
        <v>520000</v>
      </c>
      <c r="G58" s="36" t="s">
        <v>485</v>
      </c>
      <c r="H58" s="5"/>
      <c r="I58" s="5"/>
      <c r="J58" s="5"/>
    </row>
    <row r="59" spans="1:10" s="4" customFormat="1" ht="12.75">
      <c r="A59" s="65" t="s">
        <v>2</v>
      </c>
      <c r="B59" s="69" t="s">
        <v>210</v>
      </c>
      <c r="C59" s="74">
        <v>10</v>
      </c>
      <c r="D59" s="65" t="s">
        <v>8</v>
      </c>
      <c r="E59" s="80">
        <v>0.232</v>
      </c>
      <c r="F59" s="67">
        <v>630000</v>
      </c>
      <c r="G59" s="68" t="s">
        <v>597</v>
      </c>
      <c r="H59" s="6"/>
      <c r="I59" s="6"/>
      <c r="J59" s="6"/>
    </row>
    <row r="60" spans="1:10" s="4" customFormat="1" ht="12.75">
      <c r="A60" s="2" t="s">
        <v>2</v>
      </c>
      <c r="B60" s="27" t="s">
        <v>210</v>
      </c>
      <c r="C60" s="2">
        <v>10</v>
      </c>
      <c r="D60" s="2" t="s">
        <v>8</v>
      </c>
      <c r="E60" s="2">
        <f>0.44-0.1-0.024-0.025-0.065-0.095</f>
        <v>0.13099999999999992</v>
      </c>
      <c r="F60" s="45">
        <v>270000</v>
      </c>
      <c r="G60" s="36" t="s">
        <v>391</v>
      </c>
      <c r="H60" s="6"/>
      <c r="I60" s="6"/>
      <c r="J60" s="6"/>
    </row>
    <row r="61" spans="1:10" s="4" customFormat="1" ht="12.75">
      <c r="A61" s="2" t="s">
        <v>2</v>
      </c>
      <c r="B61" s="20" t="s">
        <v>209</v>
      </c>
      <c r="C61" s="24">
        <v>10</v>
      </c>
      <c r="D61" s="2" t="s">
        <v>8</v>
      </c>
      <c r="E61" s="2">
        <f>0.0595-0.02</f>
        <v>0.03949999999999999</v>
      </c>
      <c r="F61" s="45">
        <v>690000</v>
      </c>
      <c r="G61" s="36" t="s">
        <v>320</v>
      </c>
      <c r="H61" s="6"/>
      <c r="I61" s="6"/>
      <c r="J61" s="6"/>
    </row>
    <row r="62" spans="1:10" s="4" customFormat="1" ht="12.75">
      <c r="A62" s="2" t="s">
        <v>2</v>
      </c>
      <c r="B62" s="20" t="s">
        <v>209</v>
      </c>
      <c r="C62" s="24">
        <v>10</v>
      </c>
      <c r="D62" s="2" t="s">
        <v>8</v>
      </c>
      <c r="E62" s="2">
        <v>0.09</v>
      </c>
      <c r="F62" s="45">
        <v>800000</v>
      </c>
      <c r="G62" s="36" t="s">
        <v>572</v>
      </c>
      <c r="H62" s="6"/>
      <c r="I62" s="6"/>
      <c r="J62" s="6"/>
    </row>
    <row r="63" spans="1:10" ht="12.75">
      <c r="A63" s="2" t="s">
        <v>2</v>
      </c>
      <c r="B63" s="20" t="s">
        <v>171</v>
      </c>
      <c r="C63" s="24">
        <v>10</v>
      </c>
      <c r="D63" s="2" t="s">
        <v>8</v>
      </c>
      <c r="E63" s="2">
        <f>0.5-0.04-0.06+0.728-0.254-0.06-0.055-0.102-0.22</f>
        <v>0.43700000000000006</v>
      </c>
      <c r="F63" s="45">
        <v>710000</v>
      </c>
      <c r="G63" s="36" t="s">
        <v>319</v>
      </c>
      <c r="H63" s="5"/>
      <c r="I63" s="5"/>
      <c r="J63" s="5"/>
    </row>
    <row r="64" spans="1:10" s="4" customFormat="1" ht="12.75">
      <c r="A64" s="2" t="s">
        <v>2</v>
      </c>
      <c r="B64" s="23" t="s">
        <v>78</v>
      </c>
      <c r="C64" s="24">
        <v>10</v>
      </c>
      <c r="D64" s="2" t="s">
        <v>8</v>
      </c>
      <c r="E64" s="2">
        <f>(127+23.5-16)/1000</f>
        <v>0.1345</v>
      </c>
      <c r="F64" s="45">
        <v>2970000</v>
      </c>
      <c r="G64" s="36" t="s">
        <v>173</v>
      </c>
      <c r="H64" s="6"/>
      <c r="I64" s="6"/>
      <c r="J64" s="6"/>
    </row>
    <row r="65" spans="1:10" s="4" customFormat="1" ht="12.75">
      <c r="A65" s="2" t="s">
        <v>2</v>
      </c>
      <c r="B65" s="20" t="s">
        <v>198</v>
      </c>
      <c r="C65" s="24">
        <v>10</v>
      </c>
      <c r="D65" s="2" t="s">
        <v>8</v>
      </c>
      <c r="E65" s="2">
        <f>(68+375-20+138-39-5-150-12-25-100)/1000</f>
        <v>0.23</v>
      </c>
      <c r="F65" s="45">
        <v>710000</v>
      </c>
      <c r="G65" s="36" t="s">
        <v>450</v>
      </c>
      <c r="H65" s="6"/>
      <c r="I65" s="6"/>
      <c r="J65" s="6"/>
    </row>
    <row r="66" spans="1:10" s="4" customFormat="1" ht="12.75">
      <c r="A66" s="2" t="s">
        <v>2</v>
      </c>
      <c r="B66" s="27" t="s">
        <v>216</v>
      </c>
      <c r="C66" s="2">
        <v>11</v>
      </c>
      <c r="D66" s="2" t="s">
        <v>8</v>
      </c>
      <c r="E66" s="25">
        <f>36/1000</f>
        <v>0.036</v>
      </c>
      <c r="F66" s="45">
        <v>425000</v>
      </c>
      <c r="G66" s="36"/>
      <c r="H66" s="6"/>
      <c r="I66" s="6"/>
      <c r="J66" s="6"/>
    </row>
    <row r="67" spans="1:10" s="73" customFormat="1" ht="12.75">
      <c r="A67" s="2" t="s">
        <v>2</v>
      </c>
      <c r="B67" s="27" t="s">
        <v>177</v>
      </c>
      <c r="C67" s="24">
        <v>11</v>
      </c>
      <c r="D67" s="2" t="s">
        <v>8</v>
      </c>
      <c r="E67" s="25">
        <f>1.04-0.086-0.01</f>
        <v>0.9440000000000001</v>
      </c>
      <c r="F67" s="45">
        <v>270000</v>
      </c>
      <c r="G67" s="36" t="s">
        <v>133</v>
      </c>
      <c r="H67" s="6"/>
      <c r="I67" s="6"/>
      <c r="J67" s="6"/>
    </row>
    <row r="68" spans="1:248" s="73" customFormat="1" ht="12.75">
      <c r="A68" s="2" t="s">
        <v>2</v>
      </c>
      <c r="B68" s="30" t="s">
        <v>88</v>
      </c>
      <c r="C68" s="24">
        <v>11</v>
      </c>
      <c r="D68" s="2" t="s">
        <v>8</v>
      </c>
      <c r="E68" s="2">
        <f>(134-3-2-2)/1000</f>
        <v>0.127</v>
      </c>
      <c r="F68" s="45">
        <v>1500000</v>
      </c>
      <c r="G68" s="36" t="s">
        <v>219</v>
      </c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</row>
    <row r="69" spans="1:248" s="73" customFormat="1" ht="12.75">
      <c r="A69" s="2" t="s">
        <v>2</v>
      </c>
      <c r="B69" s="27" t="s">
        <v>210</v>
      </c>
      <c r="C69" s="24">
        <v>12</v>
      </c>
      <c r="D69" s="2" t="s">
        <v>8</v>
      </c>
      <c r="E69" s="25">
        <f>(56-16.6)/1000</f>
        <v>0.0394</v>
      </c>
      <c r="F69" s="45">
        <v>630000</v>
      </c>
      <c r="G69" s="36" t="s">
        <v>597</v>
      </c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</row>
    <row r="70" spans="1:10" s="4" customFormat="1" ht="12.75">
      <c r="A70" s="65" t="s">
        <v>2</v>
      </c>
      <c r="B70" s="69" t="s">
        <v>210</v>
      </c>
      <c r="C70" s="74">
        <v>12</v>
      </c>
      <c r="D70" s="65" t="s">
        <v>8</v>
      </c>
      <c r="E70" s="80">
        <v>0.112</v>
      </c>
      <c r="F70" s="67">
        <v>630000</v>
      </c>
      <c r="G70" s="68" t="s">
        <v>597</v>
      </c>
      <c r="H70" s="6"/>
      <c r="I70" s="6"/>
      <c r="J70" s="6"/>
    </row>
    <row r="71" spans="1:248" s="73" customFormat="1" ht="12.75">
      <c r="A71" s="2" t="s">
        <v>2</v>
      </c>
      <c r="B71" s="27" t="s">
        <v>210</v>
      </c>
      <c r="C71" s="2">
        <v>12</v>
      </c>
      <c r="D71" s="2" t="s">
        <v>8</v>
      </c>
      <c r="E71" s="2">
        <f>0.452-0.006*2-0.02-0.032</f>
        <v>0.388</v>
      </c>
      <c r="F71" s="45">
        <v>242000</v>
      </c>
      <c r="G71" s="36" t="s">
        <v>391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1"/>
      <c r="IM71" s="1"/>
      <c r="IN71" s="1"/>
    </row>
    <row r="72" spans="1:10" s="4" customFormat="1" ht="12.75">
      <c r="A72" s="2" t="s">
        <v>2</v>
      </c>
      <c r="B72" s="23" t="s">
        <v>78</v>
      </c>
      <c r="C72" s="24">
        <v>12</v>
      </c>
      <c r="D72" s="2" t="s">
        <v>8</v>
      </c>
      <c r="E72" s="25">
        <f>(315-50+60+48)/1000</f>
        <v>0.373</v>
      </c>
      <c r="F72" s="45">
        <v>2970000</v>
      </c>
      <c r="G72" s="36" t="s">
        <v>173</v>
      </c>
      <c r="H72" s="6"/>
      <c r="I72" s="6"/>
      <c r="J72" s="6"/>
    </row>
    <row r="73" spans="1:10" ht="12.75">
      <c r="A73" s="2" t="s">
        <v>2</v>
      </c>
      <c r="B73" s="27" t="s">
        <v>216</v>
      </c>
      <c r="C73" s="2">
        <v>13</v>
      </c>
      <c r="D73" s="2" t="s">
        <v>8</v>
      </c>
      <c r="E73" s="25">
        <f>0.174-0.02-0.014-0.0215-0.019-0.05-0.01</f>
        <v>0.039499999999999987</v>
      </c>
      <c r="F73" s="45">
        <v>450000</v>
      </c>
      <c r="G73" s="36" t="s">
        <v>426</v>
      </c>
      <c r="H73" s="5"/>
      <c r="I73" s="5"/>
      <c r="J73" s="5"/>
    </row>
    <row r="74" spans="1:10" ht="12.75">
      <c r="A74" s="2" t="s">
        <v>2</v>
      </c>
      <c r="B74" s="27" t="s">
        <v>79</v>
      </c>
      <c r="C74" s="2">
        <v>14</v>
      </c>
      <c r="D74" s="2" t="s">
        <v>8</v>
      </c>
      <c r="E74" s="25">
        <f>0.292-0.011</f>
        <v>0.28099999999999997</v>
      </c>
      <c r="F74" s="45">
        <v>750000</v>
      </c>
      <c r="G74" s="36" t="s">
        <v>263</v>
      </c>
      <c r="H74" s="6"/>
      <c r="I74" s="6"/>
      <c r="J74" s="6"/>
    </row>
    <row r="75" spans="1:10" ht="12.75">
      <c r="A75" s="2" t="s">
        <v>2</v>
      </c>
      <c r="B75" s="27" t="s">
        <v>496</v>
      </c>
      <c r="C75" s="2">
        <v>14</v>
      </c>
      <c r="D75" s="2" t="s">
        <v>8</v>
      </c>
      <c r="E75" s="2">
        <f>(0.105-0.019-0.038)+0.497-0.057-0.161-0.011</f>
        <v>0.31600000000000006</v>
      </c>
      <c r="F75" s="45">
        <v>630000</v>
      </c>
      <c r="G75" s="36" t="s">
        <v>266</v>
      </c>
      <c r="H75" s="6"/>
      <c r="I75" s="6"/>
      <c r="J75" s="6"/>
    </row>
    <row r="76" spans="1:10" s="4" customFormat="1" ht="12.75">
      <c r="A76" s="2" t="s">
        <v>2</v>
      </c>
      <c r="B76" s="27" t="s">
        <v>216</v>
      </c>
      <c r="C76" s="2">
        <v>14</v>
      </c>
      <c r="D76" s="2" t="s">
        <v>8</v>
      </c>
      <c r="E76" s="25">
        <f>(49.4+17.1)/1000</f>
        <v>0.0665</v>
      </c>
      <c r="F76" s="45">
        <v>405000</v>
      </c>
      <c r="G76" s="36"/>
      <c r="H76" s="6"/>
      <c r="I76" s="6"/>
      <c r="J76" s="6"/>
    </row>
    <row r="77" spans="1:10" s="73" customFormat="1" ht="12.75">
      <c r="A77" s="2" t="s">
        <v>2</v>
      </c>
      <c r="B77" s="20" t="s">
        <v>177</v>
      </c>
      <c r="C77" s="24">
        <v>14</v>
      </c>
      <c r="D77" s="2" t="s">
        <v>8</v>
      </c>
      <c r="E77" s="2">
        <f>CEILING(((32+35-5.9-22.6-20.5)/1000),0.001)</f>
        <v>0.018000000000000002</v>
      </c>
      <c r="F77" s="45">
        <v>450000</v>
      </c>
      <c r="G77" s="36" t="s">
        <v>369</v>
      </c>
      <c r="H77" s="6"/>
      <c r="I77" s="6"/>
      <c r="J77" s="6"/>
    </row>
    <row r="78" spans="1:10" s="73" customFormat="1" ht="12.75">
      <c r="A78" s="2" t="s">
        <v>2</v>
      </c>
      <c r="B78" s="27" t="s">
        <v>213</v>
      </c>
      <c r="C78" s="2">
        <v>14</v>
      </c>
      <c r="D78" s="2" t="s">
        <v>8</v>
      </c>
      <c r="E78" s="2">
        <f>0.15-0.01</f>
        <v>0.13999999999999999</v>
      </c>
      <c r="F78" s="45">
        <v>750000</v>
      </c>
      <c r="G78" s="36" t="s">
        <v>147</v>
      </c>
      <c r="H78" s="6"/>
      <c r="I78" s="6"/>
      <c r="J78" s="6"/>
    </row>
    <row r="79" spans="1:248" s="73" customFormat="1" ht="12.75">
      <c r="A79" s="2" t="s">
        <v>2</v>
      </c>
      <c r="B79" s="27" t="s">
        <v>210</v>
      </c>
      <c r="C79" s="2">
        <v>14</v>
      </c>
      <c r="D79" s="2" t="s">
        <v>8</v>
      </c>
      <c r="E79" s="2">
        <f>0.636-0.203-0.005-0.008-0.022+0.127-0.007-0.007-0.007-0.05-0.007-0.02-0.12-0.056</f>
        <v>0.2509999999999999</v>
      </c>
      <c r="F79" s="45">
        <v>242000</v>
      </c>
      <c r="G79" s="36"/>
      <c r="H79" s="6"/>
      <c r="I79" s="6"/>
      <c r="J79" s="6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</row>
    <row r="80" spans="1:10" s="4" customFormat="1" ht="12.75">
      <c r="A80" s="2" t="s">
        <v>2</v>
      </c>
      <c r="B80" s="27" t="s">
        <v>210</v>
      </c>
      <c r="C80" s="24">
        <v>14</v>
      </c>
      <c r="D80" s="2" t="s">
        <v>8</v>
      </c>
      <c r="E80" s="25">
        <v>0.29</v>
      </c>
      <c r="F80" s="45">
        <v>630000</v>
      </c>
      <c r="G80" s="36" t="s">
        <v>597</v>
      </c>
      <c r="H80" s="6"/>
      <c r="I80" s="6"/>
      <c r="J80" s="6"/>
    </row>
    <row r="81" spans="1:10" s="4" customFormat="1" ht="12.75">
      <c r="A81" s="65" t="s">
        <v>2</v>
      </c>
      <c r="B81" s="69" t="s">
        <v>210</v>
      </c>
      <c r="C81" s="74">
        <v>14</v>
      </c>
      <c r="D81" s="65" t="s">
        <v>8</v>
      </c>
      <c r="E81" s="80">
        <f>(109-10)/1000</f>
        <v>0.099</v>
      </c>
      <c r="F81" s="67">
        <v>630000</v>
      </c>
      <c r="G81" s="68" t="s">
        <v>597</v>
      </c>
      <c r="H81" s="6"/>
      <c r="I81" s="6"/>
      <c r="J81" s="6"/>
    </row>
    <row r="82" spans="1:10" s="4" customFormat="1" ht="12.75">
      <c r="A82" s="2" t="s">
        <v>2</v>
      </c>
      <c r="B82" s="27" t="s">
        <v>108</v>
      </c>
      <c r="C82" s="2">
        <v>14</v>
      </c>
      <c r="D82" s="2" t="s">
        <v>8</v>
      </c>
      <c r="E82" s="2">
        <f>(30+64+54-50-20)/1000</f>
        <v>0.078</v>
      </c>
      <c r="F82" s="45">
        <v>690000</v>
      </c>
      <c r="G82" s="36" t="s">
        <v>258</v>
      </c>
      <c r="H82" s="6"/>
      <c r="I82" s="6"/>
      <c r="J82" s="6"/>
    </row>
    <row r="83" spans="1:10" s="4" customFormat="1" ht="12.75">
      <c r="A83" s="2" t="s">
        <v>2</v>
      </c>
      <c r="B83" s="27" t="s">
        <v>122</v>
      </c>
      <c r="C83" s="2">
        <v>14</v>
      </c>
      <c r="D83" s="2" t="s">
        <v>8</v>
      </c>
      <c r="E83" s="2">
        <v>0.59</v>
      </c>
      <c r="F83" s="45">
        <v>1800000</v>
      </c>
      <c r="G83" s="36" t="s">
        <v>388</v>
      </c>
      <c r="H83" s="6"/>
      <c r="I83" s="6"/>
      <c r="J83" s="6"/>
    </row>
    <row r="84" spans="1:10" s="4" customFormat="1" ht="12.75">
      <c r="A84" s="2" t="s">
        <v>2</v>
      </c>
      <c r="B84" s="20" t="s">
        <v>110</v>
      </c>
      <c r="C84" s="2">
        <v>14</v>
      </c>
      <c r="D84" s="2" t="s">
        <v>8</v>
      </c>
      <c r="E84" s="25">
        <f>(30.6)/1000</f>
        <v>0.030600000000000002</v>
      </c>
      <c r="F84" s="45">
        <v>603000</v>
      </c>
      <c r="G84" s="36" t="s">
        <v>587</v>
      </c>
      <c r="H84" s="37" t="s">
        <v>281</v>
      </c>
      <c r="I84" s="37"/>
      <c r="J84" s="44"/>
    </row>
    <row r="85" spans="1:10" s="4" customFormat="1" ht="12.75">
      <c r="A85" s="65" t="s">
        <v>2</v>
      </c>
      <c r="B85" s="69" t="s">
        <v>521</v>
      </c>
      <c r="C85" s="65">
        <v>14</v>
      </c>
      <c r="D85" s="65" t="s">
        <v>8</v>
      </c>
      <c r="E85" s="80">
        <f>(500)/1000</f>
        <v>0.5</v>
      </c>
      <c r="F85" s="67" t="s">
        <v>607</v>
      </c>
      <c r="G85" s="68" t="s">
        <v>560</v>
      </c>
      <c r="H85" s="6"/>
      <c r="I85" s="6"/>
      <c r="J85" s="6"/>
    </row>
    <row r="86" spans="1:10" s="4" customFormat="1" ht="12.75">
      <c r="A86" s="2" t="s">
        <v>2</v>
      </c>
      <c r="B86" s="27" t="s">
        <v>216</v>
      </c>
      <c r="C86" s="2">
        <v>15</v>
      </c>
      <c r="D86" s="2" t="s">
        <v>8</v>
      </c>
      <c r="E86" s="25">
        <f>(1175-1-50-5-10-10+64.9)/1000</f>
        <v>1.1639000000000002</v>
      </c>
      <c r="F86" s="45">
        <v>405000</v>
      </c>
      <c r="G86" s="36" t="s">
        <v>425</v>
      </c>
      <c r="H86" s="5"/>
      <c r="I86" s="5"/>
      <c r="J86" s="5"/>
    </row>
    <row r="87" spans="1:10" s="4" customFormat="1" ht="12.75">
      <c r="A87" s="2" t="s">
        <v>2</v>
      </c>
      <c r="B87" s="27" t="s">
        <v>210</v>
      </c>
      <c r="C87" s="2">
        <v>15</v>
      </c>
      <c r="D87" s="2" t="s">
        <v>8</v>
      </c>
      <c r="E87" s="2">
        <v>0.363</v>
      </c>
      <c r="F87" s="45">
        <v>275000</v>
      </c>
      <c r="G87" s="36" t="s">
        <v>390</v>
      </c>
      <c r="H87" s="6"/>
      <c r="I87" s="6"/>
      <c r="J87" s="6"/>
    </row>
    <row r="88" spans="1:10" s="4" customFormat="1" ht="12.75">
      <c r="A88" s="2" t="s">
        <v>2</v>
      </c>
      <c r="B88" s="27" t="s">
        <v>108</v>
      </c>
      <c r="C88" s="2">
        <v>15</v>
      </c>
      <c r="D88" s="2" t="s">
        <v>8</v>
      </c>
      <c r="E88" s="2">
        <f>0.03+0.02</f>
        <v>0.05</v>
      </c>
      <c r="F88" s="45">
        <v>690000</v>
      </c>
      <c r="G88" s="36" t="s">
        <v>347</v>
      </c>
      <c r="H88" s="6"/>
      <c r="I88" s="6"/>
      <c r="J88" s="6"/>
    </row>
    <row r="89" spans="1:10" s="4" customFormat="1" ht="12.75">
      <c r="A89" s="2" t="s">
        <v>2</v>
      </c>
      <c r="B89" s="20" t="s">
        <v>209</v>
      </c>
      <c r="C89" s="2">
        <v>15</v>
      </c>
      <c r="D89" s="2" t="s">
        <v>8</v>
      </c>
      <c r="E89" s="2">
        <f>0.352-0.055-0.057-0.034</f>
        <v>0.206</v>
      </c>
      <c r="F89" s="45">
        <v>690000</v>
      </c>
      <c r="G89" s="36" t="s">
        <v>357</v>
      </c>
      <c r="H89" s="6"/>
      <c r="I89" s="6"/>
      <c r="J89" s="6"/>
    </row>
    <row r="90" spans="1:10" s="73" customFormat="1" ht="12.75">
      <c r="A90" s="2" t="s">
        <v>2</v>
      </c>
      <c r="B90" s="27" t="s">
        <v>200</v>
      </c>
      <c r="C90" s="2">
        <v>15</v>
      </c>
      <c r="D90" s="2" t="s">
        <v>8</v>
      </c>
      <c r="E90" s="2">
        <v>0.074</v>
      </c>
      <c r="F90" s="45">
        <v>1200000</v>
      </c>
      <c r="G90" s="36" t="s">
        <v>358</v>
      </c>
      <c r="H90" s="6"/>
      <c r="I90" s="6"/>
      <c r="J90" s="6"/>
    </row>
    <row r="91" spans="1:248" s="73" customFormat="1" ht="12.75">
      <c r="A91" s="2" t="s">
        <v>2</v>
      </c>
      <c r="B91" s="30" t="s">
        <v>88</v>
      </c>
      <c r="C91" s="2">
        <v>15</v>
      </c>
      <c r="D91" s="2" t="s">
        <v>8</v>
      </c>
      <c r="E91" s="2">
        <v>0.46</v>
      </c>
      <c r="F91" s="45">
        <v>1500000</v>
      </c>
      <c r="G91" s="36" t="s">
        <v>310</v>
      </c>
      <c r="H91" s="6" t="s">
        <v>311</v>
      </c>
      <c r="I91" s="46"/>
      <c r="J91" s="39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10" s="4" customFormat="1" ht="12.75">
      <c r="A92" s="2" t="s">
        <v>2</v>
      </c>
      <c r="B92" s="23" t="s">
        <v>79</v>
      </c>
      <c r="C92" s="2">
        <v>16</v>
      </c>
      <c r="D92" s="2" t="s">
        <v>8</v>
      </c>
      <c r="E92" s="25">
        <v>0.198</v>
      </c>
      <c r="F92" s="45">
        <v>750000</v>
      </c>
      <c r="G92" s="36" t="s">
        <v>292</v>
      </c>
      <c r="H92" s="6"/>
      <c r="I92" s="6"/>
      <c r="J92" s="6"/>
    </row>
    <row r="93" spans="1:10" ht="12.75">
      <c r="A93" s="2" t="s">
        <v>2</v>
      </c>
      <c r="B93" s="27" t="s">
        <v>216</v>
      </c>
      <c r="C93" s="2">
        <v>16</v>
      </c>
      <c r="D93" s="2" t="s">
        <v>8</v>
      </c>
      <c r="E93" s="2">
        <f>0.309+0.004-0.03-0.13+0.456+0.13-0.024-0.02-0.012-0.029+0.25-0.129-0.104</f>
        <v>0.6709999999999999</v>
      </c>
      <c r="F93" s="45">
        <v>405000</v>
      </c>
      <c r="G93" s="36" t="s">
        <v>426</v>
      </c>
      <c r="H93" s="5"/>
      <c r="I93" s="5"/>
      <c r="J93" s="5"/>
    </row>
    <row r="94" spans="1:10" s="4" customFormat="1" ht="12.75">
      <c r="A94" s="2" t="s">
        <v>2</v>
      </c>
      <c r="B94" s="30" t="s">
        <v>88</v>
      </c>
      <c r="C94" s="2">
        <v>16</v>
      </c>
      <c r="D94" s="2" t="s">
        <v>8</v>
      </c>
      <c r="E94" s="2">
        <f>0.588-0.052-0.029-0.09-0.04-0.05-0.05-0.003-0.05-0.013+0.349-0.005-0.006-0.03-0.167-0.048</f>
        <v>0.3039999999999999</v>
      </c>
      <c r="F94" s="45">
        <v>1500000</v>
      </c>
      <c r="G94" s="36" t="s">
        <v>310</v>
      </c>
      <c r="H94" s="6"/>
      <c r="I94" s="6"/>
      <c r="J94" s="6"/>
    </row>
    <row r="95" spans="1:10" s="4" customFormat="1" ht="12.75">
      <c r="A95" s="2" t="s">
        <v>2</v>
      </c>
      <c r="B95" s="20" t="s">
        <v>34</v>
      </c>
      <c r="C95" s="2">
        <v>16</v>
      </c>
      <c r="D95" s="2" t="s">
        <v>8</v>
      </c>
      <c r="E95" s="2">
        <f>1.01-0.155-0.02-0.25-0.05-0.056-0.039-0.023-0.13</f>
        <v>0.2869999999999999</v>
      </c>
      <c r="F95" s="45">
        <v>420000</v>
      </c>
      <c r="G95" s="36"/>
      <c r="H95" s="6"/>
      <c r="I95" s="6"/>
      <c r="J95" s="6"/>
    </row>
    <row r="96" spans="1:10" s="4" customFormat="1" ht="12.75">
      <c r="A96" s="2" t="s">
        <v>2</v>
      </c>
      <c r="B96" s="27" t="s">
        <v>213</v>
      </c>
      <c r="C96" s="2">
        <v>16</v>
      </c>
      <c r="D96" s="2" t="s">
        <v>8</v>
      </c>
      <c r="E96" s="25">
        <v>0.04</v>
      </c>
      <c r="F96" s="45">
        <v>750000</v>
      </c>
      <c r="G96" s="36" t="s">
        <v>283</v>
      </c>
      <c r="H96" s="6"/>
      <c r="I96" s="6"/>
      <c r="J96" s="6"/>
    </row>
    <row r="97" spans="1:10" s="4" customFormat="1" ht="12.75">
      <c r="A97" s="2" t="s">
        <v>2</v>
      </c>
      <c r="B97" s="27" t="s">
        <v>210</v>
      </c>
      <c r="C97" s="2">
        <v>16</v>
      </c>
      <c r="D97" s="2" t="s">
        <v>8</v>
      </c>
      <c r="E97" s="2">
        <v>0.3</v>
      </c>
      <c r="F97" s="45">
        <v>275000</v>
      </c>
      <c r="G97" s="36" t="s">
        <v>391</v>
      </c>
      <c r="H97" s="6" t="s">
        <v>483</v>
      </c>
      <c r="I97" s="46">
        <v>43139</v>
      </c>
      <c r="J97" s="39"/>
    </row>
    <row r="98" spans="1:10" ht="12.75">
      <c r="A98" s="2" t="s">
        <v>2</v>
      </c>
      <c r="B98" s="27" t="s">
        <v>210</v>
      </c>
      <c r="C98" s="24">
        <v>16</v>
      </c>
      <c r="D98" s="2" t="s">
        <v>8</v>
      </c>
      <c r="E98" s="25">
        <v>0.384</v>
      </c>
      <c r="F98" s="45">
        <v>630000</v>
      </c>
      <c r="G98" s="36" t="s">
        <v>597</v>
      </c>
      <c r="H98" s="6"/>
      <c r="I98" s="6"/>
      <c r="J98" s="6"/>
    </row>
    <row r="99" spans="1:10" ht="12.75">
      <c r="A99" s="2" t="s">
        <v>2</v>
      </c>
      <c r="B99" s="20" t="s">
        <v>209</v>
      </c>
      <c r="C99" s="2">
        <v>16</v>
      </c>
      <c r="D99" s="2" t="s">
        <v>8</v>
      </c>
      <c r="E99" s="2">
        <v>0.049</v>
      </c>
      <c r="F99" s="45">
        <v>600000</v>
      </c>
      <c r="G99" s="36" t="s">
        <v>573</v>
      </c>
      <c r="H99" s="6"/>
      <c r="I99" s="6"/>
      <c r="J99" s="6"/>
    </row>
    <row r="100" spans="1:10" ht="12.75">
      <c r="A100" s="2" t="s">
        <v>2</v>
      </c>
      <c r="B100" s="20" t="s">
        <v>171</v>
      </c>
      <c r="C100" s="2">
        <v>16</v>
      </c>
      <c r="D100" s="2" t="s">
        <v>8</v>
      </c>
      <c r="E100" s="2">
        <f>0.054+1.142-0.436-0.025-0.043</f>
        <v>0.692</v>
      </c>
      <c r="F100" s="45">
        <v>220000</v>
      </c>
      <c r="G100" s="36"/>
      <c r="H100" s="6"/>
      <c r="I100" s="6"/>
      <c r="J100" s="6"/>
    </row>
    <row r="101" spans="1:10" ht="12.75">
      <c r="A101" s="2" t="s">
        <v>2</v>
      </c>
      <c r="B101" s="27" t="s">
        <v>148</v>
      </c>
      <c r="C101" s="2">
        <v>16</v>
      </c>
      <c r="D101" s="2" t="s">
        <v>8</v>
      </c>
      <c r="E101" s="2">
        <f>0.322-0.004</f>
        <v>0.318</v>
      </c>
      <c r="F101" s="45">
        <v>450000</v>
      </c>
      <c r="G101" s="36" t="s">
        <v>286</v>
      </c>
      <c r="H101" s="6"/>
      <c r="I101" s="6"/>
      <c r="J101" s="6"/>
    </row>
    <row r="102" spans="1:10" s="4" customFormat="1" ht="12.75">
      <c r="A102" s="2" t="s">
        <v>2</v>
      </c>
      <c r="B102" s="27" t="s">
        <v>200</v>
      </c>
      <c r="C102" s="2">
        <v>16</v>
      </c>
      <c r="D102" s="2" t="s">
        <v>8</v>
      </c>
      <c r="E102" s="2">
        <v>0.023</v>
      </c>
      <c r="F102" s="45">
        <v>1200000</v>
      </c>
      <c r="G102" s="36" t="s">
        <v>358</v>
      </c>
      <c r="H102" s="5" t="s">
        <v>289</v>
      </c>
      <c r="I102" s="58">
        <v>43136</v>
      </c>
      <c r="J102" s="43" t="s">
        <v>507</v>
      </c>
    </row>
    <row r="103" spans="1:10" s="4" customFormat="1" ht="12.75">
      <c r="A103" s="2" t="s">
        <v>2</v>
      </c>
      <c r="B103" s="20" t="s">
        <v>198</v>
      </c>
      <c r="C103" s="2">
        <v>16</v>
      </c>
      <c r="D103" s="2" t="s">
        <v>8</v>
      </c>
      <c r="E103" s="2">
        <f>(478-6-30-62)/1000</f>
        <v>0.38</v>
      </c>
      <c r="F103" s="45">
        <v>520000</v>
      </c>
      <c r="G103" s="36" t="s">
        <v>621</v>
      </c>
      <c r="H103" s="6"/>
      <c r="I103" s="6"/>
      <c r="J103" s="6"/>
    </row>
    <row r="104" spans="1:10" ht="12.75">
      <c r="A104" s="2" t="s">
        <v>2</v>
      </c>
      <c r="B104" s="20" t="s">
        <v>217</v>
      </c>
      <c r="C104" s="2">
        <v>17</v>
      </c>
      <c r="D104" s="2" t="s">
        <v>8</v>
      </c>
      <c r="E104" s="2">
        <f>0.28-0.01-0.07-0.015</f>
        <v>0.185</v>
      </c>
      <c r="F104" s="45">
        <v>660000</v>
      </c>
      <c r="G104" s="36" t="s">
        <v>119</v>
      </c>
      <c r="H104" s="6"/>
      <c r="I104" s="6"/>
      <c r="J104" s="6"/>
    </row>
    <row r="105" spans="1:10" ht="12.75">
      <c r="A105" s="2" t="s">
        <v>2</v>
      </c>
      <c r="B105" s="23" t="s">
        <v>79</v>
      </c>
      <c r="C105" s="2">
        <v>17</v>
      </c>
      <c r="D105" s="2" t="s">
        <v>8</v>
      </c>
      <c r="E105" s="25">
        <f>0.019+0.625-0.031-0.102-0.05-0.021-0.073</f>
        <v>0.367</v>
      </c>
      <c r="F105" s="45">
        <v>750000</v>
      </c>
      <c r="G105" s="36" t="s">
        <v>517</v>
      </c>
      <c r="H105" s="6"/>
      <c r="I105" s="6"/>
      <c r="J105" s="6"/>
    </row>
    <row r="106" spans="1:10" s="4" customFormat="1" ht="12.75">
      <c r="A106" s="2" t="s">
        <v>2</v>
      </c>
      <c r="B106" s="27" t="s">
        <v>216</v>
      </c>
      <c r="C106" s="2">
        <v>18</v>
      </c>
      <c r="D106" s="2" t="s">
        <v>8</v>
      </c>
      <c r="E106" s="2">
        <f>0.85+0.54+0.02+0.513-0.15-0.03-0.07-0.104-0.081-0.286+0.306</f>
        <v>1.508</v>
      </c>
      <c r="F106" s="45">
        <v>350000</v>
      </c>
      <c r="G106" s="36" t="s">
        <v>426</v>
      </c>
      <c r="H106" s="6"/>
      <c r="I106" s="6"/>
      <c r="J106" s="6"/>
    </row>
    <row r="107" spans="1:10" s="4" customFormat="1" ht="12.75">
      <c r="A107" s="2" t="s">
        <v>2</v>
      </c>
      <c r="B107" s="27" t="s">
        <v>177</v>
      </c>
      <c r="C107" s="2">
        <v>18</v>
      </c>
      <c r="D107" s="2" t="s">
        <v>8</v>
      </c>
      <c r="E107" s="25">
        <f>2-0.067-0.021</f>
        <v>1.9120000000000001</v>
      </c>
      <c r="F107" s="45">
        <v>175000</v>
      </c>
      <c r="G107" s="36" t="s">
        <v>133</v>
      </c>
      <c r="H107" s="6"/>
      <c r="I107" s="6"/>
      <c r="J107" s="6"/>
    </row>
    <row r="108" spans="1:10" s="4" customFormat="1" ht="12.75">
      <c r="A108" s="2" t="s">
        <v>2</v>
      </c>
      <c r="B108" s="27" t="s">
        <v>213</v>
      </c>
      <c r="C108" s="2">
        <v>18</v>
      </c>
      <c r="D108" s="2" t="s">
        <v>8</v>
      </c>
      <c r="E108" s="25">
        <v>0.0317</v>
      </c>
      <c r="F108" s="45">
        <v>750000</v>
      </c>
      <c r="G108" s="36" t="s">
        <v>283</v>
      </c>
      <c r="H108" s="6"/>
      <c r="I108" s="6"/>
      <c r="J108" s="6"/>
    </row>
    <row r="109" spans="1:10" s="4" customFormat="1" ht="12.75">
      <c r="A109" s="2" t="s">
        <v>2</v>
      </c>
      <c r="B109" s="27" t="s">
        <v>210</v>
      </c>
      <c r="C109" s="2">
        <v>18</v>
      </c>
      <c r="D109" s="2" t="s">
        <v>8</v>
      </c>
      <c r="E109" s="2">
        <f>0.171-0.002</f>
        <v>0.169</v>
      </c>
      <c r="F109" s="45">
        <v>242000</v>
      </c>
      <c r="G109" s="36" t="s">
        <v>391</v>
      </c>
      <c r="H109" s="6"/>
      <c r="I109" s="6"/>
      <c r="J109" s="6"/>
    </row>
    <row r="110" spans="1:10" s="4" customFormat="1" ht="12.75">
      <c r="A110" s="2" t="s">
        <v>2</v>
      </c>
      <c r="B110" s="23" t="s">
        <v>62</v>
      </c>
      <c r="C110" s="2">
        <v>18</v>
      </c>
      <c r="D110" s="2" t="s">
        <v>8</v>
      </c>
      <c r="E110" s="2">
        <v>0.1</v>
      </c>
      <c r="F110" s="45">
        <v>125000</v>
      </c>
      <c r="G110" s="36"/>
      <c r="H110" s="6"/>
      <c r="I110" s="6"/>
      <c r="J110" s="6"/>
    </row>
    <row r="111" spans="1:10" ht="12.75">
      <c r="A111" s="65" t="s">
        <v>2</v>
      </c>
      <c r="B111" s="66" t="s">
        <v>171</v>
      </c>
      <c r="C111" s="74">
        <v>19</v>
      </c>
      <c r="D111" s="65" t="s">
        <v>8</v>
      </c>
      <c r="E111" s="65">
        <v>0.062</v>
      </c>
      <c r="F111" s="67">
        <v>890000</v>
      </c>
      <c r="G111" s="68" t="s">
        <v>616</v>
      </c>
      <c r="H111" s="5"/>
      <c r="I111" s="5"/>
      <c r="J111" s="5"/>
    </row>
    <row r="112" spans="1:10" s="4" customFormat="1" ht="12.75">
      <c r="A112" s="65" t="s">
        <v>2</v>
      </c>
      <c r="B112" s="69" t="s">
        <v>496</v>
      </c>
      <c r="C112" s="65">
        <v>20</v>
      </c>
      <c r="D112" s="65" t="s">
        <v>8</v>
      </c>
      <c r="E112" s="65">
        <v>0.4</v>
      </c>
      <c r="F112" s="67" t="s">
        <v>610</v>
      </c>
      <c r="G112" s="68" t="s">
        <v>546</v>
      </c>
      <c r="H112" s="6" t="s">
        <v>282</v>
      </c>
      <c r="I112" s="46" t="s">
        <v>547</v>
      </c>
      <c r="J112" s="39">
        <v>630</v>
      </c>
    </row>
    <row r="113" spans="1:10" ht="12.75">
      <c r="A113" s="2" t="s">
        <v>2</v>
      </c>
      <c r="B113" s="27" t="s">
        <v>216</v>
      </c>
      <c r="C113" s="2">
        <v>20</v>
      </c>
      <c r="D113" s="2" t="s">
        <v>8</v>
      </c>
      <c r="E113" s="25">
        <f>(528-60-20-10+16.7-6.5)/1000</f>
        <v>0.4482</v>
      </c>
      <c r="F113" s="45">
        <v>405000</v>
      </c>
      <c r="G113" s="36" t="s">
        <v>424</v>
      </c>
      <c r="H113" s="6" t="s">
        <v>282</v>
      </c>
      <c r="I113" s="46">
        <v>43014</v>
      </c>
      <c r="J113" s="6"/>
    </row>
    <row r="114" spans="1:10" ht="12.75">
      <c r="A114" s="2" t="s">
        <v>2</v>
      </c>
      <c r="B114" s="27" t="s">
        <v>177</v>
      </c>
      <c r="C114" s="2">
        <v>20</v>
      </c>
      <c r="D114" s="2" t="s">
        <v>8</v>
      </c>
      <c r="E114" s="2">
        <f>0.639-0.44-0.032-0.01</f>
        <v>0.157</v>
      </c>
      <c r="F114" s="45">
        <v>125000</v>
      </c>
      <c r="G114" s="36" t="s">
        <v>559</v>
      </c>
      <c r="H114" s="6"/>
      <c r="I114" s="6"/>
      <c r="J114" s="6"/>
    </row>
    <row r="115" spans="1:10" s="4" customFormat="1" ht="12.75">
      <c r="A115" s="2" t="s">
        <v>2</v>
      </c>
      <c r="B115" s="27" t="s">
        <v>213</v>
      </c>
      <c r="C115" s="2">
        <v>20</v>
      </c>
      <c r="D115" s="2" t="s">
        <v>8</v>
      </c>
      <c r="E115" s="25">
        <f>(44.5-27-9+2.3)/1000</f>
        <v>0.0108</v>
      </c>
      <c r="F115" s="45">
        <v>750000</v>
      </c>
      <c r="G115" s="36" t="s">
        <v>283</v>
      </c>
      <c r="H115" s="6"/>
      <c r="I115" s="6"/>
      <c r="J115" s="6"/>
    </row>
    <row r="116" spans="1:10" s="73" customFormat="1" ht="12.75">
      <c r="A116" s="2" t="s">
        <v>2</v>
      </c>
      <c r="B116" s="27" t="s">
        <v>210</v>
      </c>
      <c r="C116" s="2">
        <v>20</v>
      </c>
      <c r="D116" s="2" t="s">
        <v>8</v>
      </c>
      <c r="E116" s="2">
        <f>0.1-0.05-0.009+0.199-0.08+0.08-0.037-0.003-0.08+0.005+0.368-0.014-0.1-0.055-0.015-0.056-0.128</f>
        <v>0.125</v>
      </c>
      <c r="F116" s="45">
        <v>242000</v>
      </c>
      <c r="G116" s="36" t="s">
        <v>391</v>
      </c>
      <c r="H116" s="6"/>
      <c r="I116" s="6"/>
      <c r="J116" s="6"/>
    </row>
    <row r="117" spans="1:10" s="4" customFormat="1" ht="12.75">
      <c r="A117" s="2" t="s">
        <v>2</v>
      </c>
      <c r="B117" s="27" t="s">
        <v>108</v>
      </c>
      <c r="C117" s="2">
        <v>20</v>
      </c>
      <c r="D117" s="2" t="s">
        <v>8</v>
      </c>
      <c r="E117" s="25">
        <f>(386+6.3)/1000</f>
        <v>0.39230000000000004</v>
      </c>
      <c r="F117" s="45">
        <v>540000</v>
      </c>
      <c r="G117" s="36"/>
      <c r="H117" s="6"/>
      <c r="I117" s="6"/>
      <c r="J117" s="6"/>
    </row>
    <row r="118" spans="1:10" s="4" customFormat="1" ht="12.75">
      <c r="A118" s="2" t="s">
        <v>2</v>
      </c>
      <c r="B118" s="20" t="s">
        <v>171</v>
      </c>
      <c r="C118" s="2">
        <v>20</v>
      </c>
      <c r="D118" s="2" t="s">
        <v>8</v>
      </c>
      <c r="E118" s="2">
        <f>0.28-0.035</f>
        <v>0.24500000000000002</v>
      </c>
      <c r="F118" s="45">
        <v>270000</v>
      </c>
      <c r="G118" s="36"/>
      <c r="H118" s="6"/>
      <c r="I118" s="6"/>
      <c r="J118" s="6"/>
    </row>
    <row r="119" spans="1:10" s="4" customFormat="1" ht="12.75">
      <c r="A119" s="2" t="s">
        <v>2</v>
      </c>
      <c r="B119" s="27" t="s">
        <v>148</v>
      </c>
      <c r="C119" s="2">
        <v>20</v>
      </c>
      <c r="D119" s="2" t="s">
        <v>8</v>
      </c>
      <c r="E119" s="2">
        <f>6.1/1000</f>
        <v>0.0060999999999999995</v>
      </c>
      <c r="F119" s="45">
        <v>900000</v>
      </c>
      <c r="G119" s="36" t="s">
        <v>286</v>
      </c>
      <c r="H119" s="5" t="s">
        <v>285</v>
      </c>
      <c r="I119" s="57"/>
      <c r="J119" s="41"/>
    </row>
    <row r="120" spans="1:10" ht="12.75">
      <c r="A120" s="2" t="s">
        <v>2</v>
      </c>
      <c r="B120" s="27" t="s">
        <v>204</v>
      </c>
      <c r="C120" s="2">
        <v>20</v>
      </c>
      <c r="D120" s="2" t="s">
        <v>8</v>
      </c>
      <c r="E120" s="25">
        <f>(19.3+22)/1000</f>
        <v>0.041299999999999996</v>
      </c>
      <c r="F120" s="45">
        <v>1500000</v>
      </c>
      <c r="G120" s="36" t="s">
        <v>328</v>
      </c>
      <c r="H120" s="6"/>
      <c r="I120" s="6"/>
      <c r="J120" s="6"/>
    </row>
    <row r="121" spans="1:248" ht="12.75">
      <c r="A121" s="2" t="s">
        <v>2</v>
      </c>
      <c r="B121" s="27" t="s">
        <v>203</v>
      </c>
      <c r="C121" s="2">
        <v>20</v>
      </c>
      <c r="D121" s="2" t="s">
        <v>8</v>
      </c>
      <c r="E121" s="25">
        <f>0.431+0.019-0.033</f>
        <v>0.41700000000000004</v>
      </c>
      <c r="F121" s="45">
        <v>1300000</v>
      </c>
      <c r="G121" s="36" t="s">
        <v>264</v>
      </c>
      <c r="H121" s="6"/>
      <c r="I121" s="6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</row>
    <row r="122" spans="1:10" s="4" customFormat="1" ht="12.75">
      <c r="A122" s="2" t="s">
        <v>2</v>
      </c>
      <c r="B122" s="20" t="s">
        <v>110</v>
      </c>
      <c r="C122" s="2">
        <v>20</v>
      </c>
      <c r="D122" s="2" t="s">
        <v>8</v>
      </c>
      <c r="E122" s="2">
        <f>(60+50+29)/1000</f>
        <v>0.139</v>
      </c>
      <c r="F122" s="45">
        <v>603000</v>
      </c>
      <c r="G122" s="36" t="s">
        <v>367</v>
      </c>
      <c r="H122" s="37" t="s">
        <v>281</v>
      </c>
      <c r="I122" s="37"/>
      <c r="J122" s="44"/>
    </row>
    <row r="123" spans="1:99" ht="12.75">
      <c r="A123" s="2" t="s">
        <v>2</v>
      </c>
      <c r="B123" s="27" t="s">
        <v>200</v>
      </c>
      <c r="C123" s="2">
        <v>20</v>
      </c>
      <c r="D123" s="2" t="s">
        <v>8</v>
      </c>
      <c r="E123" s="2">
        <f>(95.2)/1000</f>
        <v>0.0952</v>
      </c>
      <c r="F123" s="45">
        <v>1200000</v>
      </c>
      <c r="G123" s="36" t="s">
        <v>358</v>
      </c>
      <c r="H123" s="5" t="s">
        <v>170</v>
      </c>
      <c r="I123" s="35">
        <v>43237</v>
      </c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</row>
    <row r="124" spans="1:10" s="4" customFormat="1" ht="12.75">
      <c r="A124" s="2" t="s">
        <v>2</v>
      </c>
      <c r="B124" s="20" t="s">
        <v>198</v>
      </c>
      <c r="C124" s="2">
        <v>20</v>
      </c>
      <c r="D124" s="2" t="s">
        <v>8</v>
      </c>
      <c r="E124" s="2">
        <f>0.536+0.154-0.058-0.078-0.08-0.05-0.062+0.036-0.19-0.036+0.07</f>
        <v>0.24200000000000002</v>
      </c>
      <c r="F124" s="45">
        <v>510000</v>
      </c>
      <c r="G124" s="36" t="s">
        <v>382</v>
      </c>
      <c r="H124" s="6"/>
      <c r="I124" s="6"/>
      <c r="J124" s="6"/>
    </row>
    <row r="125" spans="1:10" s="4" customFormat="1" ht="12.75">
      <c r="A125" s="65" t="s">
        <v>2</v>
      </c>
      <c r="B125" s="69" t="s">
        <v>198</v>
      </c>
      <c r="C125" s="65">
        <v>20</v>
      </c>
      <c r="D125" s="65" t="s">
        <v>8</v>
      </c>
      <c r="E125" s="80">
        <v>0.282</v>
      </c>
      <c r="F125" s="67">
        <v>510000</v>
      </c>
      <c r="G125" s="68" t="s">
        <v>536</v>
      </c>
      <c r="H125" s="6" t="s">
        <v>386</v>
      </c>
      <c r="I125" s="46">
        <v>42983</v>
      </c>
      <c r="J125" s="39"/>
    </row>
    <row r="126" spans="1:10" s="4" customFormat="1" ht="12.75">
      <c r="A126" s="2" t="s">
        <v>2</v>
      </c>
      <c r="B126" s="27" t="s">
        <v>521</v>
      </c>
      <c r="C126" s="2">
        <v>20</v>
      </c>
      <c r="D126" s="2" t="s">
        <v>8</v>
      </c>
      <c r="E126" s="25">
        <f>(178)/1000</f>
        <v>0.178</v>
      </c>
      <c r="F126" s="45">
        <v>1500000</v>
      </c>
      <c r="G126" s="36" t="s">
        <v>512</v>
      </c>
      <c r="H126" s="6"/>
      <c r="I126" s="6"/>
      <c r="J126" s="6"/>
    </row>
    <row r="127" spans="1:10" s="4" customFormat="1" ht="12.75">
      <c r="A127" s="65" t="s">
        <v>2</v>
      </c>
      <c r="B127" s="69" t="s">
        <v>521</v>
      </c>
      <c r="C127" s="65">
        <v>20</v>
      </c>
      <c r="D127" s="65" t="s">
        <v>8</v>
      </c>
      <c r="E127" s="80">
        <f>(200)/1000</f>
        <v>0.2</v>
      </c>
      <c r="F127" s="67" t="s">
        <v>607</v>
      </c>
      <c r="G127" s="68" t="s">
        <v>560</v>
      </c>
      <c r="H127" s="6"/>
      <c r="I127" s="6"/>
      <c r="J127" s="6"/>
    </row>
    <row r="128" spans="1:10" s="73" customFormat="1" ht="12.75">
      <c r="A128" s="65" t="s">
        <v>2</v>
      </c>
      <c r="B128" s="81" t="s">
        <v>78</v>
      </c>
      <c r="C128" s="65">
        <v>20</v>
      </c>
      <c r="D128" s="65" t="s">
        <v>8</v>
      </c>
      <c r="E128" s="80">
        <v>0.035</v>
      </c>
      <c r="F128" s="67">
        <v>2200000</v>
      </c>
      <c r="G128" s="68" t="s">
        <v>619</v>
      </c>
      <c r="H128" s="70"/>
      <c r="I128" s="70"/>
      <c r="J128" s="70"/>
    </row>
    <row r="129" spans="1:10" s="4" customFormat="1" ht="12.75">
      <c r="A129" s="2" t="s">
        <v>2</v>
      </c>
      <c r="B129" s="27" t="s">
        <v>496</v>
      </c>
      <c r="C129" s="2">
        <v>22</v>
      </c>
      <c r="D129" s="2" t="s">
        <v>8</v>
      </c>
      <c r="E129" s="2">
        <v>0.231</v>
      </c>
      <c r="F129" s="45">
        <v>630000</v>
      </c>
      <c r="G129" s="36" t="s">
        <v>238</v>
      </c>
      <c r="H129" s="6"/>
      <c r="I129" s="6"/>
      <c r="J129" s="6"/>
    </row>
    <row r="130" spans="1:10" s="4" customFormat="1" ht="12.75">
      <c r="A130" s="2" t="s">
        <v>2</v>
      </c>
      <c r="B130" s="27" t="s">
        <v>216</v>
      </c>
      <c r="C130" s="2">
        <v>22</v>
      </c>
      <c r="D130" s="2" t="s">
        <v>8</v>
      </c>
      <c r="E130" s="25">
        <f>24/1000</f>
        <v>0.024</v>
      </c>
      <c r="F130" s="45">
        <v>417000</v>
      </c>
      <c r="G130" s="36"/>
      <c r="H130" s="5"/>
      <c r="I130" s="58"/>
      <c r="J130" s="39"/>
    </row>
    <row r="131" spans="1:10" s="4" customFormat="1" ht="12.75">
      <c r="A131" s="2" t="s">
        <v>2</v>
      </c>
      <c r="B131" s="20" t="s">
        <v>201</v>
      </c>
      <c r="C131" s="2">
        <v>22</v>
      </c>
      <c r="D131" s="2" t="s">
        <v>8</v>
      </c>
      <c r="E131" s="2">
        <f>0.335-0.106-0.029-0.018-0.086</f>
        <v>0.09600000000000006</v>
      </c>
      <c r="F131" s="45">
        <v>653000</v>
      </c>
      <c r="G131" s="36" t="s">
        <v>392</v>
      </c>
      <c r="H131" s="6"/>
      <c r="I131" s="6"/>
      <c r="J131" s="6"/>
    </row>
    <row r="132" spans="1:10" s="4" customFormat="1" ht="12.75">
      <c r="A132" s="2" t="s">
        <v>2</v>
      </c>
      <c r="B132" s="27" t="s">
        <v>200</v>
      </c>
      <c r="C132" s="2">
        <v>22</v>
      </c>
      <c r="D132" s="2" t="s">
        <v>8</v>
      </c>
      <c r="E132" s="2">
        <f>0.066-0.007-0.036+0.083</f>
        <v>0.10600000000000001</v>
      </c>
      <c r="F132" s="45">
        <v>1200000</v>
      </c>
      <c r="G132" s="36" t="s">
        <v>358</v>
      </c>
      <c r="H132" s="6"/>
      <c r="I132" s="6"/>
      <c r="J132" s="6"/>
    </row>
    <row r="133" spans="1:10" s="4" customFormat="1" ht="12.75">
      <c r="A133" s="65" t="s">
        <v>2</v>
      </c>
      <c r="B133" s="69" t="s">
        <v>198</v>
      </c>
      <c r="C133" s="65">
        <v>22</v>
      </c>
      <c r="D133" s="65" t="s">
        <v>8</v>
      </c>
      <c r="E133" s="80">
        <v>0.073</v>
      </c>
      <c r="F133" s="67">
        <v>510000</v>
      </c>
      <c r="G133" s="68" t="s">
        <v>622</v>
      </c>
      <c r="H133" s="6"/>
      <c r="I133" s="46"/>
      <c r="J133" s="36"/>
    </row>
    <row r="134" spans="1:10" s="4" customFormat="1" ht="12.75">
      <c r="A134" s="2" t="s">
        <v>2</v>
      </c>
      <c r="B134" s="27" t="s">
        <v>499</v>
      </c>
      <c r="C134" s="2">
        <v>22</v>
      </c>
      <c r="D134" s="2" t="s">
        <v>8</v>
      </c>
      <c r="E134" s="2">
        <v>0.178</v>
      </c>
      <c r="F134" s="45">
        <v>500000</v>
      </c>
      <c r="G134" s="36" t="s">
        <v>513</v>
      </c>
      <c r="H134" s="6"/>
      <c r="I134" s="46"/>
      <c r="J134" s="36"/>
    </row>
    <row r="135" spans="1:10" s="4" customFormat="1" ht="12.75">
      <c r="A135" s="2" t="s">
        <v>2</v>
      </c>
      <c r="B135" s="27" t="s">
        <v>521</v>
      </c>
      <c r="C135" s="2">
        <v>22</v>
      </c>
      <c r="D135" s="2" t="s">
        <v>8</v>
      </c>
      <c r="E135" s="25">
        <v>0.15</v>
      </c>
      <c r="F135" s="45">
        <v>1500000</v>
      </c>
      <c r="G135" s="36" t="s">
        <v>512</v>
      </c>
      <c r="H135" s="6"/>
      <c r="I135" s="6"/>
      <c r="J135" s="6"/>
    </row>
    <row r="136" spans="1:10" s="4" customFormat="1" ht="12.75">
      <c r="A136" s="65" t="s">
        <v>2</v>
      </c>
      <c r="B136" s="69" t="s">
        <v>521</v>
      </c>
      <c r="C136" s="65">
        <v>22</v>
      </c>
      <c r="D136" s="65" t="s">
        <v>8</v>
      </c>
      <c r="E136" s="80">
        <v>0.151</v>
      </c>
      <c r="F136" s="67">
        <v>1500000</v>
      </c>
      <c r="G136" s="68" t="s">
        <v>512</v>
      </c>
      <c r="H136" s="6"/>
      <c r="I136" s="6"/>
      <c r="J136" s="6"/>
    </row>
    <row r="137" spans="1:10" s="4" customFormat="1" ht="12.75">
      <c r="A137" s="65" t="s">
        <v>2</v>
      </c>
      <c r="B137" s="81" t="s">
        <v>97</v>
      </c>
      <c r="C137" s="65">
        <v>22</v>
      </c>
      <c r="D137" s="65" t="s">
        <v>8</v>
      </c>
      <c r="E137" s="80">
        <v>0.04</v>
      </c>
      <c r="F137" s="67">
        <v>570000</v>
      </c>
      <c r="G137" s="68" t="s">
        <v>325</v>
      </c>
      <c r="H137" s="6"/>
      <c r="I137" s="6"/>
      <c r="J137" s="6"/>
    </row>
    <row r="138" spans="1:10" ht="12.75">
      <c r="A138" s="2" t="s">
        <v>2</v>
      </c>
      <c r="B138" s="27" t="s">
        <v>216</v>
      </c>
      <c r="C138" s="2">
        <v>23</v>
      </c>
      <c r="D138" s="2" t="s">
        <v>8</v>
      </c>
      <c r="E138" s="25">
        <f>13.7/1000</f>
        <v>0.013699999999999999</v>
      </c>
      <c r="F138" s="45">
        <v>417000</v>
      </c>
      <c r="G138" s="36"/>
      <c r="H138" s="5"/>
      <c r="I138" s="5"/>
      <c r="J138" s="5"/>
    </row>
    <row r="139" spans="1:10" ht="12.75">
      <c r="A139" s="2" t="s">
        <v>2</v>
      </c>
      <c r="B139" s="23" t="s">
        <v>81</v>
      </c>
      <c r="C139" s="2">
        <v>24</v>
      </c>
      <c r="D139" s="2" t="s">
        <v>8</v>
      </c>
      <c r="E139" s="2">
        <f>0.095-0.032</f>
        <v>0.063</v>
      </c>
      <c r="F139" s="45">
        <v>225000</v>
      </c>
      <c r="G139" s="36" t="s">
        <v>393</v>
      </c>
      <c r="H139" s="6"/>
      <c r="I139" s="6"/>
      <c r="J139" s="6"/>
    </row>
    <row r="140" spans="1:10" ht="12.75">
      <c r="A140" s="2" t="s">
        <v>2</v>
      </c>
      <c r="B140" s="23" t="s">
        <v>79</v>
      </c>
      <c r="C140" s="2">
        <v>24</v>
      </c>
      <c r="D140" s="2" t="s">
        <v>8</v>
      </c>
      <c r="E140" s="25">
        <f>(9.1)/1000</f>
        <v>0.0091</v>
      </c>
      <c r="F140" s="45">
        <v>750000</v>
      </c>
      <c r="G140" s="36" t="s">
        <v>263</v>
      </c>
      <c r="H140" s="6"/>
      <c r="I140" s="6"/>
      <c r="J140" s="6"/>
    </row>
    <row r="141" spans="1:10" s="4" customFormat="1" ht="12.75">
      <c r="A141" s="2" t="s">
        <v>2</v>
      </c>
      <c r="B141" s="27" t="s">
        <v>216</v>
      </c>
      <c r="C141" s="2">
        <v>24</v>
      </c>
      <c r="D141" s="2" t="s">
        <v>8</v>
      </c>
      <c r="E141" s="25">
        <f>148/1000</f>
        <v>0.148</v>
      </c>
      <c r="F141" s="45">
        <v>417000</v>
      </c>
      <c r="G141" s="36"/>
      <c r="H141" s="5"/>
      <c r="I141" s="5"/>
      <c r="J141" s="5"/>
    </row>
    <row r="142" spans="1:10" ht="12.75">
      <c r="A142" s="2" t="s">
        <v>2</v>
      </c>
      <c r="B142" s="30" t="s">
        <v>88</v>
      </c>
      <c r="C142" s="2">
        <v>24</v>
      </c>
      <c r="D142" s="2" t="s">
        <v>8</v>
      </c>
      <c r="E142" s="2">
        <f>0.264-0.035-0.032-0.051-0.009-0.03-0.033+0.078</f>
        <v>0.15200000000000002</v>
      </c>
      <c r="F142" s="45">
        <v>1500000</v>
      </c>
      <c r="G142" s="36" t="s">
        <v>310</v>
      </c>
      <c r="H142" s="6"/>
      <c r="I142" s="6"/>
      <c r="J142" s="6"/>
    </row>
    <row r="143" spans="1:10" s="4" customFormat="1" ht="12.75">
      <c r="A143" s="2" t="s">
        <v>2</v>
      </c>
      <c r="B143" s="27" t="s">
        <v>210</v>
      </c>
      <c r="C143" s="24">
        <v>24</v>
      </c>
      <c r="D143" s="2" t="s">
        <v>8</v>
      </c>
      <c r="E143" s="25">
        <f>(77-7-7)/1000</f>
        <v>0.063</v>
      </c>
      <c r="F143" s="45">
        <v>493000</v>
      </c>
      <c r="G143" s="36" t="s">
        <v>506</v>
      </c>
      <c r="H143" s="6"/>
      <c r="I143" s="6"/>
      <c r="J143" s="6"/>
    </row>
    <row r="144" spans="1:10" s="4" customFormat="1" ht="12.75">
      <c r="A144" s="2" t="s">
        <v>2</v>
      </c>
      <c r="B144" s="27" t="s">
        <v>210</v>
      </c>
      <c r="C144" s="2">
        <v>24</v>
      </c>
      <c r="D144" s="2" t="s">
        <v>8</v>
      </c>
      <c r="E144" s="25">
        <v>0.012</v>
      </c>
      <c r="F144" s="45">
        <v>420000</v>
      </c>
      <c r="G144" s="36" t="s">
        <v>229</v>
      </c>
      <c r="H144" s="6" t="s">
        <v>280</v>
      </c>
      <c r="I144" s="47"/>
      <c r="J144" s="39" t="s">
        <v>294</v>
      </c>
    </row>
    <row r="145" spans="1:10" s="4" customFormat="1" ht="12.75">
      <c r="A145" s="2" t="s">
        <v>2</v>
      </c>
      <c r="B145" s="27" t="s">
        <v>108</v>
      </c>
      <c r="C145" s="2">
        <v>24</v>
      </c>
      <c r="D145" s="2" t="s">
        <v>8</v>
      </c>
      <c r="E145" s="2">
        <f>0.09-0.054+0.008</f>
        <v>0.044</v>
      </c>
      <c r="F145" s="45">
        <v>690000</v>
      </c>
      <c r="G145" s="36" t="s">
        <v>258</v>
      </c>
      <c r="H145" s="6"/>
      <c r="I145" s="6"/>
      <c r="J145" s="6"/>
    </row>
    <row r="146" spans="1:10" s="4" customFormat="1" ht="12.75">
      <c r="A146" s="65" t="s">
        <v>2</v>
      </c>
      <c r="B146" s="66" t="s">
        <v>198</v>
      </c>
      <c r="C146" s="65">
        <v>24</v>
      </c>
      <c r="D146" s="65" t="s">
        <v>8</v>
      </c>
      <c r="E146" s="65">
        <v>0.502</v>
      </c>
      <c r="F146" s="67">
        <v>510000</v>
      </c>
      <c r="G146" s="68" t="s">
        <v>348</v>
      </c>
      <c r="H146" s="6"/>
      <c r="I146" s="6"/>
      <c r="J146" s="6"/>
    </row>
    <row r="147" spans="1:10" ht="12.75">
      <c r="A147" s="2" t="s">
        <v>2</v>
      </c>
      <c r="B147" s="23" t="s">
        <v>81</v>
      </c>
      <c r="C147" s="2">
        <v>25</v>
      </c>
      <c r="D147" s="2" t="s">
        <v>8</v>
      </c>
      <c r="E147" s="2">
        <f>0.21-0.016-0.051</f>
        <v>0.14300000000000002</v>
      </c>
      <c r="F147" s="45">
        <v>240000</v>
      </c>
      <c r="G147" s="36"/>
      <c r="H147" s="6"/>
      <c r="I147" s="6"/>
      <c r="J147" s="6"/>
    </row>
    <row r="148" spans="1:10" s="4" customFormat="1" ht="12.75">
      <c r="A148" s="2" t="s">
        <v>2</v>
      </c>
      <c r="B148" s="27" t="s">
        <v>496</v>
      </c>
      <c r="C148" s="2">
        <v>25</v>
      </c>
      <c r="D148" s="2" t="s">
        <v>8</v>
      </c>
      <c r="E148" s="25">
        <f>0.532-0.03-0.1</f>
        <v>0.402</v>
      </c>
      <c r="F148" s="45">
        <v>630000</v>
      </c>
      <c r="G148" s="36" t="s">
        <v>267</v>
      </c>
      <c r="H148" s="6" t="s">
        <v>281</v>
      </c>
      <c r="I148" s="6"/>
      <c r="J148" s="6"/>
    </row>
    <row r="149" spans="1:10" s="4" customFormat="1" ht="12.75">
      <c r="A149" s="2" t="s">
        <v>2</v>
      </c>
      <c r="B149" s="27" t="s">
        <v>216</v>
      </c>
      <c r="C149" s="2">
        <v>25</v>
      </c>
      <c r="D149" s="2" t="s">
        <v>8</v>
      </c>
      <c r="E149" s="25">
        <f>(294-31-33-12-34-21-14+225)/1000</f>
        <v>0.374</v>
      </c>
      <c r="F149" s="45">
        <v>405000</v>
      </c>
      <c r="G149" s="36" t="s">
        <v>424</v>
      </c>
      <c r="H149" s="5"/>
      <c r="I149" s="5"/>
      <c r="J149" s="5"/>
    </row>
    <row r="150" spans="1:10" s="4" customFormat="1" ht="12.75">
      <c r="A150" s="2" t="s">
        <v>2</v>
      </c>
      <c r="B150" s="27" t="s">
        <v>213</v>
      </c>
      <c r="C150" s="2">
        <v>25</v>
      </c>
      <c r="D150" s="2" t="s">
        <v>8</v>
      </c>
      <c r="E150" s="25">
        <f>0.011+0.259</f>
        <v>0.27</v>
      </c>
      <c r="F150" s="45">
        <v>750000</v>
      </c>
      <c r="G150" s="36" t="s">
        <v>283</v>
      </c>
      <c r="H150" s="6"/>
      <c r="I150" s="6"/>
      <c r="J150" s="6"/>
    </row>
    <row r="151" spans="1:10" s="4" customFormat="1" ht="12.75">
      <c r="A151" s="2" t="s">
        <v>2</v>
      </c>
      <c r="B151" s="27" t="s">
        <v>210</v>
      </c>
      <c r="C151" s="24">
        <v>25</v>
      </c>
      <c r="D151" s="2" t="s">
        <v>8</v>
      </c>
      <c r="E151" s="25">
        <f>(429-7.5-34.7-20)/1000</f>
        <v>0.3668</v>
      </c>
      <c r="F151" s="45">
        <v>493000</v>
      </c>
      <c r="G151" s="36" t="s">
        <v>548</v>
      </c>
      <c r="H151" s="6"/>
      <c r="I151" s="6"/>
      <c r="J151" s="6"/>
    </row>
    <row r="152" spans="1:10" s="4" customFormat="1" ht="12.75">
      <c r="A152" s="2" t="s">
        <v>2</v>
      </c>
      <c r="B152" s="27" t="s">
        <v>108</v>
      </c>
      <c r="C152" s="2">
        <v>25</v>
      </c>
      <c r="D152" s="2" t="s">
        <v>8</v>
      </c>
      <c r="E152" s="2">
        <f>0.4+0.055+0.067</f>
        <v>0.522</v>
      </c>
      <c r="F152" s="45">
        <v>690000</v>
      </c>
      <c r="G152" s="36" t="s">
        <v>234</v>
      </c>
      <c r="H152" s="6"/>
      <c r="I152" s="6"/>
      <c r="J152" s="6"/>
    </row>
    <row r="153" spans="1:10" ht="12.75">
      <c r="A153" s="2" t="s">
        <v>2</v>
      </c>
      <c r="B153" s="20" t="s">
        <v>209</v>
      </c>
      <c r="C153" s="2">
        <v>25</v>
      </c>
      <c r="D153" s="2" t="s">
        <v>8</v>
      </c>
      <c r="E153" s="2">
        <f>0.091-0.013-0.036</f>
        <v>0.042</v>
      </c>
      <c r="F153" s="45">
        <v>450000</v>
      </c>
      <c r="G153" s="36"/>
      <c r="H153" s="6"/>
      <c r="I153" s="6"/>
      <c r="J153" s="6"/>
    </row>
    <row r="154" spans="1:10" s="4" customFormat="1" ht="12.75">
      <c r="A154" s="2" t="s">
        <v>2</v>
      </c>
      <c r="B154" s="23" t="s">
        <v>181</v>
      </c>
      <c r="C154" s="24">
        <v>25</v>
      </c>
      <c r="D154" s="2" t="s">
        <v>8</v>
      </c>
      <c r="E154" s="2">
        <f>0.047</f>
        <v>0.047</v>
      </c>
      <c r="F154" s="45">
        <v>610000</v>
      </c>
      <c r="G154" s="36" t="s">
        <v>394</v>
      </c>
      <c r="H154" s="5"/>
      <c r="I154" s="5"/>
      <c r="J154" s="5"/>
    </row>
    <row r="155" spans="1:10" s="4" customFormat="1" ht="12.75">
      <c r="A155" s="2" t="s">
        <v>2</v>
      </c>
      <c r="B155" s="23" t="s">
        <v>62</v>
      </c>
      <c r="C155" s="2">
        <v>25</v>
      </c>
      <c r="D155" s="2" t="s">
        <v>8</v>
      </c>
      <c r="E155" s="2">
        <v>0.195</v>
      </c>
      <c r="F155" s="45">
        <v>125000</v>
      </c>
      <c r="G155" s="36"/>
      <c r="H155" s="6"/>
      <c r="I155" s="6"/>
      <c r="J155" s="6"/>
    </row>
    <row r="156" spans="1:10" s="4" customFormat="1" ht="12.75">
      <c r="A156" s="2" t="s">
        <v>2</v>
      </c>
      <c r="B156" s="27" t="s">
        <v>200</v>
      </c>
      <c r="C156" s="2">
        <v>25</v>
      </c>
      <c r="D156" s="2" t="s">
        <v>8</v>
      </c>
      <c r="E156" s="25">
        <f>(405)/1000</f>
        <v>0.405</v>
      </c>
      <c r="F156" s="45">
        <v>1200000</v>
      </c>
      <c r="G156" s="36"/>
      <c r="H156" s="6"/>
      <c r="I156" s="6"/>
      <c r="J156" s="6"/>
    </row>
    <row r="157" spans="1:10" s="4" customFormat="1" ht="12.75">
      <c r="A157" s="2" t="s">
        <v>2</v>
      </c>
      <c r="B157" s="23" t="s">
        <v>79</v>
      </c>
      <c r="C157" s="2">
        <v>26</v>
      </c>
      <c r="D157" s="2" t="s">
        <v>8</v>
      </c>
      <c r="E157" s="25">
        <f>(7.7)/1000</f>
        <v>0.0077</v>
      </c>
      <c r="F157" s="45">
        <v>750000</v>
      </c>
      <c r="G157" s="36" t="s">
        <v>263</v>
      </c>
      <c r="H157" s="6"/>
      <c r="I157" s="6"/>
      <c r="J157" s="6"/>
    </row>
    <row r="158" spans="1:10" s="4" customFormat="1" ht="12.75">
      <c r="A158" s="2" t="s">
        <v>2</v>
      </c>
      <c r="B158" s="27" t="s">
        <v>216</v>
      </c>
      <c r="C158" s="2">
        <v>26</v>
      </c>
      <c r="D158" s="2" t="s">
        <v>8</v>
      </c>
      <c r="E158" s="25">
        <f>(18.5+232)/1000</f>
        <v>0.2505</v>
      </c>
      <c r="F158" s="45">
        <v>417000</v>
      </c>
      <c r="G158" s="36"/>
      <c r="H158" s="5"/>
      <c r="I158" s="58"/>
      <c r="J158" s="39"/>
    </row>
    <row r="159" spans="1:10" s="4" customFormat="1" ht="12.75">
      <c r="A159" s="2" t="s">
        <v>2</v>
      </c>
      <c r="B159" s="27" t="s">
        <v>108</v>
      </c>
      <c r="C159" s="2">
        <v>26</v>
      </c>
      <c r="D159" s="2" t="s">
        <v>8</v>
      </c>
      <c r="E159" s="2">
        <v>0.075</v>
      </c>
      <c r="F159" s="45">
        <v>690000</v>
      </c>
      <c r="G159" s="36" t="s">
        <v>258</v>
      </c>
      <c r="H159" s="6"/>
      <c r="I159" s="6"/>
      <c r="J159" s="6"/>
    </row>
    <row r="160" spans="1:10" s="4" customFormat="1" ht="12.75">
      <c r="A160" s="2" t="s">
        <v>2</v>
      </c>
      <c r="B160" s="20" t="s">
        <v>198</v>
      </c>
      <c r="C160" s="2">
        <v>26</v>
      </c>
      <c r="D160" s="2" t="s">
        <v>8</v>
      </c>
      <c r="E160" s="2">
        <f>0.062-0.044</f>
        <v>0.018000000000000002</v>
      </c>
      <c r="F160" s="45">
        <v>490000</v>
      </c>
      <c r="G160" s="36" t="s">
        <v>151</v>
      </c>
      <c r="H160" s="6"/>
      <c r="I160" s="6"/>
      <c r="J160" s="6"/>
    </row>
    <row r="161" spans="1:10" s="4" customFormat="1" ht="12.75">
      <c r="A161" s="65" t="s">
        <v>2</v>
      </c>
      <c r="B161" s="69" t="s">
        <v>198</v>
      </c>
      <c r="C161" s="65">
        <v>26</v>
      </c>
      <c r="D161" s="65" t="s">
        <v>8</v>
      </c>
      <c r="E161" s="80">
        <f>0.158+0.266</f>
        <v>0.42400000000000004</v>
      </c>
      <c r="F161" s="67">
        <v>510000</v>
      </c>
      <c r="G161" s="68" t="s">
        <v>536</v>
      </c>
      <c r="H161" s="6"/>
      <c r="I161" s="46"/>
      <c r="J161" s="36"/>
    </row>
    <row r="162" spans="1:10" s="4" customFormat="1" ht="12.75">
      <c r="A162" s="2" t="s">
        <v>2</v>
      </c>
      <c r="B162" s="23" t="s">
        <v>79</v>
      </c>
      <c r="C162" s="2">
        <v>28</v>
      </c>
      <c r="D162" s="2" t="s">
        <v>8</v>
      </c>
      <c r="E162" s="25">
        <f>(90.4)/1000</f>
        <v>0.09040000000000001</v>
      </c>
      <c r="F162" s="45">
        <v>750000</v>
      </c>
      <c r="G162" s="36" t="s">
        <v>263</v>
      </c>
      <c r="H162" s="6"/>
      <c r="I162" s="6"/>
      <c r="J162" s="6"/>
    </row>
    <row r="163" spans="1:10" ht="12.75">
      <c r="A163" s="2" t="s">
        <v>2</v>
      </c>
      <c r="B163" s="27" t="s">
        <v>496</v>
      </c>
      <c r="C163" s="2">
        <v>28</v>
      </c>
      <c r="D163" s="2" t="s">
        <v>8</v>
      </c>
      <c r="E163" s="25">
        <f>0.096-0.0543</f>
        <v>0.0417</v>
      </c>
      <c r="F163" s="45">
        <v>590000</v>
      </c>
      <c r="G163" s="36" t="s">
        <v>238</v>
      </c>
      <c r="H163" s="6"/>
      <c r="I163" s="6"/>
      <c r="J163" s="6"/>
    </row>
    <row r="164" spans="1:10" s="4" customFormat="1" ht="12.75">
      <c r="A164" s="2" t="s">
        <v>2</v>
      </c>
      <c r="B164" s="27" t="s">
        <v>210</v>
      </c>
      <c r="C164" s="24">
        <v>28</v>
      </c>
      <c r="D164" s="2" t="s">
        <v>8</v>
      </c>
      <c r="E164" s="25">
        <f>(237)/1000</f>
        <v>0.237</v>
      </c>
      <c r="F164" s="45">
        <v>493000</v>
      </c>
      <c r="G164" s="36" t="s">
        <v>362</v>
      </c>
      <c r="H164" s="6"/>
      <c r="I164" s="6"/>
      <c r="J164" s="6"/>
    </row>
    <row r="165" spans="1:10" s="4" customFormat="1" ht="12.75">
      <c r="A165" s="2" t="s">
        <v>2</v>
      </c>
      <c r="B165" s="27" t="s">
        <v>108</v>
      </c>
      <c r="C165" s="2">
        <v>28</v>
      </c>
      <c r="D165" s="2" t="s">
        <v>8</v>
      </c>
      <c r="E165" s="2">
        <v>0.055</v>
      </c>
      <c r="F165" s="45">
        <v>690000</v>
      </c>
      <c r="G165" s="36" t="s">
        <v>258</v>
      </c>
      <c r="H165" s="6"/>
      <c r="I165" s="6"/>
      <c r="J165" s="6"/>
    </row>
    <row r="166" spans="1:10" ht="12.75">
      <c r="A166" s="2" t="s">
        <v>2</v>
      </c>
      <c r="B166" s="20" t="s">
        <v>209</v>
      </c>
      <c r="C166" s="24">
        <v>28</v>
      </c>
      <c r="D166" s="2" t="s">
        <v>8</v>
      </c>
      <c r="E166" s="2">
        <f>(0.445-0.08-0.035-0.025)+0.025*(3-2)</f>
        <v>0.32999999999999996</v>
      </c>
      <c r="F166" s="45">
        <v>520000</v>
      </c>
      <c r="G166" s="36" t="s">
        <v>272</v>
      </c>
      <c r="H166" s="6"/>
      <c r="I166" s="6"/>
      <c r="J166" s="6"/>
    </row>
    <row r="167" spans="1:10" ht="12.75">
      <c r="A167" s="2" t="s">
        <v>2</v>
      </c>
      <c r="B167" s="27" t="s">
        <v>148</v>
      </c>
      <c r="C167" s="2">
        <v>28</v>
      </c>
      <c r="D167" s="2" t="s">
        <v>8</v>
      </c>
      <c r="E167" s="2">
        <f>(26.5)/1000</f>
        <v>0.0265</v>
      </c>
      <c r="F167" s="45">
        <v>540000</v>
      </c>
      <c r="G167" s="36" t="s">
        <v>286</v>
      </c>
      <c r="H167" s="5" t="s">
        <v>170</v>
      </c>
      <c r="I167" s="35">
        <v>43237</v>
      </c>
      <c r="J167" s="5"/>
    </row>
    <row r="168" spans="1:10" s="4" customFormat="1" ht="12.75">
      <c r="A168" s="2" t="s">
        <v>2</v>
      </c>
      <c r="B168" s="23" t="s">
        <v>78</v>
      </c>
      <c r="C168" s="2">
        <v>28</v>
      </c>
      <c r="D168" s="2" t="s">
        <v>8</v>
      </c>
      <c r="E168" s="2">
        <f>(118-10-19)/1000</f>
        <v>0.089</v>
      </c>
      <c r="F168" s="45">
        <v>2000000</v>
      </c>
      <c r="G168" s="36" t="s">
        <v>543</v>
      </c>
      <c r="H168" s="6"/>
      <c r="I168" s="6"/>
      <c r="J168" s="6"/>
    </row>
    <row r="169" spans="1:10" s="4" customFormat="1" ht="12.75">
      <c r="A169" s="65" t="s">
        <v>2</v>
      </c>
      <c r="B169" s="69" t="s">
        <v>199</v>
      </c>
      <c r="C169" s="65">
        <v>29</v>
      </c>
      <c r="D169" s="65" t="s">
        <v>8</v>
      </c>
      <c r="E169" s="65">
        <v>0.286</v>
      </c>
      <c r="F169" s="67" t="s">
        <v>602</v>
      </c>
      <c r="G169" s="68" t="s">
        <v>600</v>
      </c>
      <c r="H169" s="6"/>
      <c r="I169" s="6"/>
      <c r="J169" s="6"/>
    </row>
    <row r="170" spans="1:10" ht="12.75">
      <c r="A170" s="2" t="s">
        <v>2</v>
      </c>
      <c r="B170" s="20" t="s">
        <v>217</v>
      </c>
      <c r="C170" s="2">
        <v>30</v>
      </c>
      <c r="D170" s="2" t="s">
        <v>8</v>
      </c>
      <c r="E170" s="25">
        <f>0.215-0.0506-0.018-0.0171</f>
        <v>0.1293</v>
      </c>
      <c r="F170" s="45">
        <v>660000</v>
      </c>
      <c r="G170" s="36"/>
      <c r="H170" s="6"/>
      <c r="I170" s="6"/>
      <c r="J170" s="6"/>
    </row>
    <row r="171" spans="1:10" ht="12.75">
      <c r="A171" s="2" t="s">
        <v>2</v>
      </c>
      <c r="B171" s="22" t="s">
        <v>167</v>
      </c>
      <c r="C171" s="2">
        <v>30</v>
      </c>
      <c r="D171" s="2" t="s">
        <v>8</v>
      </c>
      <c r="E171" s="2">
        <f>0.166+0.018-0.008-0.019*2-0.007</f>
        <v>0.13099999999999998</v>
      </c>
      <c r="F171" s="45">
        <v>350000</v>
      </c>
      <c r="G171" s="36" t="s">
        <v>359</v>
      </c>
      <c r="H171" s="6"/>
      <c r="I171" s="6"/>
      <c r="J171" s="6"/>
    </row>
    <row r="172" spans="1:10" s="4" customFormat="1" ht="12.75">
      <c r="A172" s="2" t="s">
        <v>2</v>
      </c>
      <c r="B172" s="27" t="s">
        <v>496</v>
      </c>
      <c r="C172" s="2">
        <v>30</v>
      </c>
      <c r="D172" s="2" t="s">
        <v>8</v>
      </c>
      <c r="E172" s="2">
        <f>0.524-0.1*2-0.048-0.15</f>
        <v>0.12600000000000003</v>
      </c>
      <c r="F172" s="45">
        <v>590000</v>
      </c>
      <c r="G172" s="36" t="s">
        <v>238</v>
      </c>
      <c r="H172" s="5"/>
      <c r="I172" s="5"/>
      <c r="J172" s="5"/>
    </row>
    <row r="173" spans="1:10" s="4" customFormat="1" ht="12.75">
      <c r="A173" s="2" t="s">
        <v>2</v>
      </c>
      <c r="B173" s="27" t="s">
        <v>216</v>
      </c>
      <c r="C173" s="2">
        <v>30</v>
      </c>
      <c r="D173" s="2" t="s">
        <v>8</v>
      </c>
      <c r="E173" s="25">
        <f>(352+32-60-67+164-40-42-100+420-44+8.6)/1000</f>
        <v>0.6236</v>
      </c>
      <c r="F173" s="45">
        <v>405000</v>
      </c>
      <c r="G173" s="36" t="s">
        <v>453</v>
      </c>
      <c r="H173" s="6"/>
      <c r="I173" s="6"/>
      <c r="J173" s="6"/>
    </row>
    <row r="174" spans="1:10" ht="12.75">
      <c r="A174" s="2" t="s">
        <v>2</v>
      </c>
      <c r="B174" s="27" t="s">
        <v>215</v>
      </c>
      <c r="C174" s="2">
        <v>30</v>
      </c>
      <c r="D174" s="2" t="s">
        <v>8</v>
      </c>
      <c r="E174" s="2">
        <v>0.0124</v>
      </c>
      <c r="F174" s="45">
        <v>620000</v>
      </c>
      <c r="G174" s="36"/>
      <c r="H174" s="6"/>
      <c r="I174" s="6"/>
      <c r="J174" s="6"/>
    </row>
    <row r="175" spans="1:10" s="4" customFormat="1" ht="12.75">
      <c r="A175" s="2" t="s">
        <v>2</v>
      </c>
      <c r="B175" s="20" t="s">
        <v>34</v>
      </c>
      <c r="C175" s="2">
        <v>30</v>
      </c>
      <c r="D175" s="2" t="s">
        <v>8</v>
      </c>
      <c r="E175" s="2">
        <f>0.7-0.015</f>
        <v>0.6849999999999999</v>
      </c>
      <c r="F175" s="45">
        <v>420000</v>
      </c>
      <c r="G175" s="6"/>
      <c r="H175" s="5"/>
      <c r="I175" s="5"/>
      <c r="J175" s="5"/>
    </row>
    <row r="176" spans="1:10" s="4" customFormat="1" ht="12.75">
      <c r="A176" s="2" t="s">
        <v>2</v>
      </c>
      <c r="B176" s="27" t="s">
        <v>210</v>
      </c>
      <c r="C176" s="2">
        <v>30</v>
      </c>
      <c r="D176" s="2" t="s">
        <v>8</v>
      </c>
      <c r="E176" s="25">
        <f>20*(4-1-1)/1000</f>
        <v>0.04</v>
      </c>
      <c r="F176" s="45">
        <v>390000</v>
      </c>
      <c r="G176" s="36" t="s">
        <v>229</v>
      </c>
      <c r="H176" s="6"/>
      <c r="I176" s="6"/>
      <c r="J176" s="6"/>
    </row>
    <row r="177" spans="1:10" s="4" customFormat="1" ht="12.75">
      <c r="A177" s="2" t="s">
        <v>2</v>
      </c>
      <c r="B177" s="27" t="s">
        <v>210</v>
      </c>
      <c r="C177" s="2">
        <v>30</v>
      </c>
      <c r="D177" s="2" t="s">
        <v>8</v>
      </c>
      <c r="E177" s="2">
        <f>0.136-0.033+0.78+0.014-0.04-0.022-0.104+0.318-0.04-0.244-0.035-0.032</f>
        <v>0.6979999999999998</v>
      </c>
      <c r="F177" s="45">
        <v>225000</v>
      </c>
      <c r="G177" s="36" t="s">
        <v>391</v>
      </c>
      <c r="H177" s="6"/>
      <c r="I177" s="6"/>
      <c r="J177" s="6"/>
    </row>
    <row r="178" spans="1:10" ht="12.75">
      <c r="A178" s="2" t="s">
        <v>2</v>
      </c>
      <c r="B178" s="27" t="s">
        <v>210</v>
      </c>
      <c r="C178" s="24">
        <v>30</v>
      </c>
      <c r="D178" s="2" t="s">
        <v>8</v>
      </c>
      <c r="E178" s="25">
        <f>(236-9)/1000</f>
        <v>0.227</v>
      </c>
      <c r="F178" s="45">
        <v>493000</v>
      </c>
      <c r="G178" s="36" t="s">
        <v>362</v>
      </c>
      <c r="H178" s="6"/>
      <c r="I178" s="6"/>
      <c r="J178" s="6"/>
    </row>
    <row r="179" spans="1:10" ht="12.75">
      <c r="A179" s="2" t="s">
        <v>2</v>
      </c>
      <c r="B179" s="20" t="s">
        <v>171</v>
      </c>
      <c r="C179" s="2">
        <v>30</v>
      </c>
      <c r="D179" s="2" t="s">
        <v>8</v>
      </c>
      <c r="E179" s="2">
        <f>0.52-0.012-0.057-0.068</f>
        <v>0.383</v>
      </c>
      <c r="F179" s="45">
        <v>215000</v>
      </c>
      <c r="G179" s="36" t="s">
        <v>391</v>
      </c>
      <c r="H179" s="6"/>
      <c r="I179" s="6"/>
      <c r="J179" s="6"/>
    </row>
    <row r="180" spans="1:10" ht="12.75">
      <c r="A180" s="2" t="s">
        <v>2</v>
      </c>
      <c r="B180" s="20" t="s">
        <v>171</v>
      </c>
      <c r="C180" s="2">
        <v>30</v>
      </c>
      <c r="D180" s="2" t="s">
        <v>8</v>
      </c>
      <c r="E180" s="2">
        <f>0.02*(5-1-2-1)</f>
        <v>0.02</v>
      </c>
      <c r="F180" s="45">
        <v>450000</v>
      </c>
      <c r="G180" s="36" t="s">
        <v>438</v>
      </c>
      <c r="H180" s="6"/>
      <c r="I180" s="6"/>
      <c r="J180" s="6"/>
    </row>
    <row r="181" spans="1:10" s="4" customFormat="1" ht="12.75">
      <c r="A181" s="2" t="s">
        <v>2</v>
      </c>
      <c r="B181" s="27" t="s">
        <v>204</v>
      </c>
      <c r="C181" s="2">
        <v>30</v>
      </c>
      <c r="D181" s="2" t="s">
        <v>8</v>
      </c>
      <c r="E181" s="25">
        <f>(205-12.3-23.4-98+48.3)/1000</f>
        <v>0.11959999999999998</v>
      </c>
      <c r="F181" s="45">
        <v>1500000</v>
      </c>
      <c r="G181" s="36" t="s">
        <v>328</v>
      </c>
      <c r="H181" s="6"/>
      <c r="I181" s="6"/>
      <c r="J181" s="6"/>
    </row>
    <row r="182" spans="1:10" s="4" customFormat="1" ht="12.75">
      <c r="A182" s="2" t="s">
        <v>2</v>
      </c>
      <c r="B182" s="27" t="s">
        <v>203</v>
      </c>
      <c r="C182" s="2">
        <v>30</v>
      </c>
      <c r="D182" s="2" t="s">
        <v>8</v>
      </c>
      <c r="E182" s="25">
        <f>0.235</f>
        <v>0.235</v>
      </c>
      <c r="F182" s="45">
        <v>1300000</v>
      </c>
      <c r="G182" s="36" t="s">
        <v>264</v>
      </c>
      <c r="H182" s="6"/>
      <c r="I182" s="6"/>
      <c r="J182" s="6"/>
    </row>
    <row r="183" spans="1:10" s="4" customFormat="1" ht="12.75">
      <c r="A183" s="2" t="s">
        <v>2</v>
      </c>
      <c r="B183" s="23" t="s">
        <v>62</v>
      </c>
      <c r="C183" s="2">
        <v>30</v>
      </c>
      <c r="D183" s="2" t="s">
        <v>8</v>
      </c>
      <c r="E183" s="2">
        <v>0.405</v>
      </c>
      <c r="F183" s="45">
        <v>125000</v>
      </c>
      <c r="G183" s="36"/>
      <c r="H183" s="6"/>
      <c r="I183" s="6"/>
      <c r="J183" s="6"/>
    </row>
    <row r="184" spans="1:248" s="4" customFormat="1" ht="12.75">
      <c r="A184" s="2" t="s">
        <v>2</v>
      </c>
      <c r="B184" s="27" t="s">
        <v>498</v>
      </c>
      <c r="C184" s="2">
        <v>30</v>
      </c>
      <c r="D184" s="2" t="s">
        <v>8</v>
      </c>
      <c r="E184" s="2">
        <v>0.129</v>
      </c>
      <c r="F184" s="45">
        <v>520000</v>
      </c>
      <c r="G184" s="36" t="s">
        <v>535</v>
      </c>
      <c r="H184" s="6"/>
      <c r="I184" s="6"/>
      <c r="J184" s="6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9"/>
      <c r="FC184" s="79"/>
      <c r="FD184" s="79"/>
      <c r="FE184" s="79"/>
      <c r="FF184" s="79"/>
      <c r="FG184" s="79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  <c r="FY184" s="79"/>
      <c r="FZ184" s="79"/>
      <c r="GA184" s="79"/>
      <c r="GB184" s="79"/>
      <c r="GC184" s="79"/>
      <c r="GD184" s="79"/>
      <c r="GE184" s="79"/>
      <c r="GF184" s="79"/>
      <c r="GG184" s="79"/>
      <c r="GH184" s="79"/>
      <c r="GI184" s="79"/>
      <c r="GJ184" s="79"/>
      <c r="GK184" s="79"/>
      <c r="GL184" s="79"/>
      <c r="GM184" s="79"/>
      <c r="GN184" s="79"/>
      <c r="GO184" s="79"/>
      <c r="GP184" s="79"/>
      <c r="GQ184" s="79"/>
      <c r="GR184" s="79"/>
      <c r="GS184" s="79"/>
      <c r="GT184" s="79"/>
      <c r="GU184" s="79"/>
      <c r="GV184" s="79"/>
      <c r="GW184" s="79"/>
      <c r="GX184" s="79"/>
      <c r="GY184" s="79"/>
      <c r="GZ184" s="79"/>
      <c r="HA184" s="79"/>
      <c r="HB184" s="79"/>
      <c r="HC184" s="79"/>
      <c r="HD184" s="79"/>
      <c r="HE184" s="79"/>
      <c r="HF184" s="79"/>
      <c r="HG184" s="79"/>
      <c r="HH184" s="79"/>
      <c r="HI184" s="79"/>
      <c r="HJ184" s="79"/>
      <c r="HK184" s="79"/>
      <c r="HL184" s="79"/>
      <c r="HM184" s="79"/>
      <c r="HN184" s="79"/>
      <c r="HO184" s="79"/>
      <c r="HP184" s="79"/>
      <c r="HQ184" s="79"/>
      <c r="HR184" s="79"/>
      <c r="HS184" s="79"/>
      <c r="HT184" s="79"/>
      <c r="HU184" s="79"/>
      <c r="HV184" s="79"/>
      <c r="HW184" s="79"/>
      <c r="HX184" s="79"/>
      <c r="HY184" s="79"/>
      <c r="HZ184" s="79"/>
      <c r="IA184" s="79"/>
      <c r="IB184" s="79"/>
      <c r="IC184" s="79"/>
      <c r="ID184" s="79"/>
      <c r="IE184" s="79"/>
      <c r="IF184" s="79"/>
      <c r="IG184" s="79"/>
      <c r="IH184" s="79"/>
      <c r="II184" s="79"/>
      <c r="IJ184" s="79"/>
      <c r="IK184" s="79"/>
      <c r="IL184" s="79"/>
      <c r="IM184" s="79"/>
      <c r="IN184" s="79"/>
    </row>
    <row r="185" spans="1:10" s="4" customFormat="1" ht="12.75">
      <c r="A185" s="2" t="s">
        <v>2</v>
      </c>
      <c r="B185" s="27" t="s">
        <v>200</v>
      </c>
      <c r="C185" s="2">
        <v>30</v>
      </c>
      <c r="D185" s="2" t="s">
        <v>8</v>
      </c>
      <c r="E185" s="2">
        <f>(558+460)/1000</f>
        <v>1.018</v>
      </c>
      <c r="F185" s="45">
        <v>1200000</v>
      </c>
      <c r="G185" s="36" t="s">
        <v>358</v>
      </c>
      <c r="H185" s="6" t="s">
        <v>379</v>
      </c>
      <c r="I185" s="46">
        <v>43237</v>
      </c>
      <c r="J185" s="39" t="s">
        <v>595</v>
      </c>
    </row>
    <row r="186" spans="1:10" s="4" customFormat="1" ht="12.75">
      <c r="A186" s="2" t="s">
        <v>2</v>
      </c>
      <c r="B186" s="20" t="s">
        <v>198</v>
      </c>
      <c r="C186" s="2">
        <v>30</v>
      </c>
      <c r="D186" s="2" t="s">
        <v>8</v>
      </c>
      <c r="E186" s="2">
        <f>0.52-0.043-0.05+0.016-0.051-0.05</f>
        <v>0.3420000000000001</v>
      </c>
      <c r="F186" s="45">
        <v>475000</v>
      </c>
      <c r="G186" s="36" t="s">
        <v>174</v>
      </c>
      <c r="H186" s="6"/>
      <c r="I186" s="6"/>
      <c r="J186" s="6"/>
    </row>
    <row r="187" spans="1:10" s="4" customFormat="1" ht="12.75">
      <c r="A187" s="2" t="s">
        <v>2</v>
      </c>
      <c r="B187" s="23" t="s">
        <v>230</v>
      </c>
      <c r="C187" s="2">
        <v>30</v>
      </c>
      <c r="D187" s="2" t="s">
        <v>8</v>
      </c>
      <c r="E187" s="2">
        <f>0.013</f>
        <v>0.013</v>
      </c>
      <c r="F187" s="45">
        <v>850000</v>
      </c>
      <c r="G187" s="36"/>
      <c r="H187" s="6"/>
      <c r="I187" s="6"/>
      <c r="J187" s="6"/>
    </row>
    <row r="188" spans="1:10" s="4" customFormat="1" ht="12.75">
      <c r="A188" s="2" t="s">
        <v>2</v>
      </c>
      <c r="B188" s="27" t="s">
        <v>496</v>
      </c>
      <c r="C188" s="2">
        <v>32</v>
      </c>
      <c r="D188" s="2" t="s">
        <v>8</v>
      </c>
      <c r="E188" s="2">
        <f>0.781+0.16-0.089+0.322-0.059</f>
        <v>1.1150000000000002</v>
      </c>
      <c r="F188" s="45">
        <v>590000</v>
      </c>
      <c r="G188" s="36" t="s">
        <v>267</v>
      </c>
      <c r="H188" s="6"/>
      <c r="I188" s="6"/>
      <c r="J188" s="6"/>
    </row>
    <row r="189" spans="1:10" s="4" customFormat="1" ht="12.75">
      <c r="A189" s="2" t="s">
        <v>2</v>
      </c>
      <c r="B189" s="27" t="s">
        <v>210</v>
      </c>
      <c r="C189" s="24">
        <v>32</v>
      </c>
      <c r="D189" s="2" t="s">
        <v>8</v>
      </c>
      <c r="E189" s="25">
        <f>(111-10)/1000</f>
        <v>0.101</v>
      </c>
      <c r="F189" s="45">
        <v>493000</v>
      </c>
      <c r="G189" s="36" t="s">
        <v>362</v>
      </c>
      <c r="H189" s="6"/>
      <c r="I189" s="6"/>
      <c r="J189" s="6"/>
    </row>
    <row r="190" spans="1:10" s="4" customFormat="1" ht="12.75">
      <c r="A190" s="2" t="s">
        <v>2</v>
      </c>
      <c r="B190" s="27" t="s">
        <v>108</v>
      </c>
      <c r="C190" s="2">
        <v>32</v>
      </c>
      <c r="D190" s="2" t="s">
        <v>8</v>
      </c>
      <c r="E190" s="2">
        <v>0.09</v>
      </c>
      <c r="F190" s="45">
        <v>690000</v>
      </c>
      <c r="G190" s="36" t="s">
        <v>258</v>
      </c>
      <c r="H190" s="37"/>
      <c r="I190" s="37"/>
      <c r="J190" s="37"/>
    </row>
    <row r="191" spans="1:10" s="4" customFormat="1" ht="12.75">
      <c r="A191" s="2" t="s">
        <v>2</v>
      </c>
      <c r="B191" s="20" t="s">
        <v>110</v>
      </c>
      <c r="C191" s="2">
        <v>32</v>
      </c>
      <c r="D191" s="2" t="s">
        <v>8</v>
      </c>
      <c r="E191" s="25">
        <f>0.033</f>
        <v>0.033</v>
      </c>
      <c r="F191" s="45">
        <v>540000</v>
      </c>
      <c r="G191" s="36" t="s">
        <v>144</v>
      </c>
      <c r="H191" s="6"/>
      <c r="I191" s="6"/>
      <c r="J191" s="6"/>
    </row>
    <row r="192" spans="1:10" s="4" customFormat="1" ht="12.75">
      <c r="A192" s="2" t="s">
        <v>2</v>
      </c>
      <c r="B192" s="30" t="s">
        <v>88</v>
      </c>
      <c r="C192" s="2">
        <v>35</v>
      </c>
      <c r="D192" s="2" t="s">
        <v>8</v>
      </c>
      <c r="E192" s="2">
        <f>0.106-0.012-0.024-0.048</f>
        <v>0.022000000000000006</v>
      </c>
      <c r="F192" s="45">
        <v>1500000</v>
      </c>
      <c r="G192" s="36" t="s">
        <v>310</v>
      </c>
      <c r="H192" s="6"/>
      <c r="I192" s="6"/>
      <c r="J192" s="6"/>
    </row>
    <row r="193" spans="1:10" s="4" customFormat="1" ht="12.75">
      <c r="A193" s="2" t="s">
        <v>2</v>
      </c>
      <c r="B193" s="27" t="s">
        <v>210</v>
      </c>
      <c r="C193" s="2">
        <v>35</v>
      </c>
      <c r="D193" s="2" t="s">
        <v>8</v>
      </c>
      <c r="E193" s="2">
        <f>(22)/1000</f>
        <v>0.022</v>
      </c>
      <c r="F193" s="45">
        <v>250000</v>
      </c>
      <c r="G193" s="36" t="s">
        <v>391</v>
      </c>
      <c r="H193" s="6"/>
      <c r="I193" s="6"/>
      <c r="J193" s="6"/>
    </row>
    <row r="194" spans="1:10" s="4" customFormat="1" ht="12.75">
      <c r="A194" s="2" t="s">
        <v>2</v>
      </c>
      <c r="B194" s="27" t="s">
        <v>108</v>
      </c>
      <c r="C194" s="2">
        <v>35</v>
      </c>
      <c r="D194" s="2" t="s">
        <v>8</v>
      </c>
      <c r="E194" s="2">
        <f>0.083+0.04</f>
        <v>0.123</v>
      </c>
      <c r="F194" s="45">
        <v>690000</v>
      </c>
      <c r="G194" s="36" t="s">
        <v>258</v>
      </c>
      <c r="H194" s="37"/>
      <c r="I194" s="37"/>
      <c r="J194" s="37"/>
    </row>
    <row r="195" spans="1:10" s="4" customFormat="1" ht="12.75">
      <c r="A195" s="2" t="s">
        <v>2</v>
      </c>
      <c r="B195" s="23" t="s">
        <v>78</v>
      </c>
      <c r="C195" s="2">
        <v>35</v>
      </c>
      <c r="D195" s="2" t="s">
        <v>8</v>
      </c>
      <c r="E195" s="25">
        <f>(1020+9)/1000</f>
        <v>1.029</v>
      </c>
      <c r="F195" s="45">
        <v>1800000</v>
      </c>
      <c r="G195" s="36" t="s">
        <v>477</v>
      </c>
      <c r="H195" s="6"/>
      <c r="I195" s="6"/>
      <c r="J195" s="6"/>
    </row>
    <row r="196" spans="1:10" ht="12.75">
      <c r="A196" s="65" t="s">
        <v>2</v>
      </c>
      <c r="B196" s="69" t="s">
        <v>583</v>
      </c>
      <c r="C196" s="65">
        <v>35</v>
      </c>
      <c r="D196" s="65" t="s">
        <v>8</v>
      </c>
      <c r="E196" s="65">
        <v>0.2790000000000001</v>
      </c>
      <c r="F196" s="67">
        <v>550000</v>
      </c>
      <c r="G196" s="68" t="s">
        <v>584</v>
      </c>
      <c r="H196" s="6"/>
      <c r="I196" s="46"/>
      <c r="J196" s="36"/>
    </row>
    <row r="197" spans="1:10" s="4" customFormat="1" ht="12.75">
      <c r="A197" s="2" t="s">
        <v>2</v>
      </c>
      <c r="B197" s="27" t="s">
        <v>199</v>
      </c>
      <c r="C197" s="2">
        <v>35</v>
      </c>
      <c r="D197" s="2" t="s">
        <v>8</v>
      </c>
      <c r="E197" s="2">
        <f>(25.3-15.3+48.5)/1000</f>
        <v>0.0585</v>
      </c>
      <c r="F197" s="45">
        <v>950000</v>
      </c>
      <c r="G197" s="36"/>
      <c r="H197" s="6"/>
      <c r="I197" s="6"/>
      <c r="J197" s="6"/>
    </row>
    <row r="198" spans="1:10" s="4" customFormat="1" ht="12.75">
      <c r="A198" s="2" t="s">
        <v>2</v>
      </c>
      <c r="B198" s="27" t="s">
        <v>521</v>
      </c>
      <c r="C198" s="2">
        <v>35</v>
      </c>
      <c r="D198" s="2" t="s">
        <v>8</v>
      </c>
      <c r="E198" s="2">
        <f>0.248-0.045</f>
        <v>0.203</v>
      </c>
      <c r="F198" s="45">
        <v>1500000</v>
      </c>
      <c r="G198" s="36" t="s">
        <v>533</v>
      </c>
      <c r="H198" s="6"/>
      <c r="I198" s="46"/>
      <c r="J198" s="36"/>
    </row>
    <row r="199" spans="1:10" s="73" customFormat="1" ht="12.75">
      <c r="A199" s="2" t="s">
        <v>2</v>
      </c>
      <c r="B199" s="27" t="s">
        <v>216</v>
      </c>
      <c r="C199" s="2">
        <v>36</v>
      </c>
      <c r="D199" s="2" t="s">
        <v>8</v>
      </c>
      <c r="E199" s="25">
        <f>23.8/1000</f>
        <v>0.0238</v>
      </c>
      <c r="F199" s="45">
        <v>417000</v>
      </c>
      <c r="G199" s="36"/>
      <c r="H199" s="6"/>
      <c r="I199" s="6"/>
      <c r="J199" s="6"/>
    </row>
    <row r="200" spans="1:10" s="4" customFormat="1" ht="12.75">
      <c r="A200" s="2" t="s">
        <v>2</v>
      </c>
      <c r="B200" s="27" t="s">
        <v>210</v>
      </c>
      <c r="C200" s="2">
        <v>36</v>
      </c>
      <c r="D200" s="2" t="s">
        <v>8</v>
      </c>
      <c r="E200" s="2">
        <f>0.132-0.026-0.013-0.032+0.05-0.012</f>
        <v>0.09900000000000002</v>
      </c>
      <c r="F200" s="45">
        <v>225000</v>
      </c>
      <c r="G200" s="36" t="s">
        <v>391</v>
      </c>
      <c r="H200" s="6"/>
      <c r="I200" s="6"/>
      <c r="J200" s="6"/>
    </row>
    <row r="201" spans="1:10" ht="12.75">
      <c r="A201" s="2" t="s">
        <v>2</v>
      </c>
      <c r="B201" s="27" t="s">
        <v>207</v>
      </c>
      <c r="C201" s="2">
        <v>36</v>
      </c>
      <c r="D201" s="2" t="s">
        <v>8</v>
      </c>
      <c r="E201" s="25">
        <f>1.223-0.034-0.034</f>
        <v>1.155</v>
      </c>
      <c r="F201" s="45">
        <v>800000</v>
      </c>
      <c r="G201" s="59" t="s">
        <v>85</v>
      </c>
      <c r="H201" s="6"/>
      <c r="I201" s="6"/>
      <c r="J201" s="6"/>
    </row>
    <row r="202" spans="1:10" s="73" customFormat="1" ht="12.75">
      <c r="A202" s="2" t="s">
        <v>2</v>
      </c>
      <c r="B202" s="27" t="s">
        <v>210</v>
      </c>
      <c r="C202" s="2">
        <v>38</v>
      </c>
      <c r="D202" s="2" t="s">
        <v>8</v>
      </c>
      <c r="E202" s="25">
        <f>0.286-0.037</f>
        <v>0.24899999999999997</v>
      </c>
      <c r="F202" s="45">
        <v>460000</v>
      </c>
      <c r="G202" s="36" t="s">
        <v>440</v>
      </c>
      <c r="H202" s="6"/>
      <c r="I202" s="6"/>
      <c r="J202" s="6"/>
    </row>
    <row r="203" spans="1:10" ht="12.75">
      <c r="A203" s="2" t="s">
        <v>2</v>
      </c>
      <c r="B203" s="27" t="s">
        <v>108</v>
      </c>
      <c r="C203" s="2">
        <v>38</v>
      </c>
      <c r="D203" s="2" t="s">
        <v>8</v>
      </c>
      <c r="E203" s="2">
        <f>0.21+0.08+0.02</f>
        <v>0.31</v>
      </c>
      <c r="F203" s="45">
        <v>690000</v>
      </c>
      <c r="G203" s="36" t="s">
        <v>258</v>
      </c>
      <c r="H203" s="37"/>
      <c r="I203" s="37"/>
      <c r="J203" s="37"/>
    </row>
    <row r="204" spans="1:10" s="4" customFormat="1" ht="12.75">
      <c r="A204" s="2" t="s">
        <v>2</v>
      </c>
      <c r="B204" s="20" t="s">
        <v>110</v>
      </c>
      <c r="C204" s="2">
        <v>38</v>
      </c>
      <c r="D204" s="2" t="s">
        <v>8</v>
      </c>
      <c r="E204" s="25">
        <f>0.0225</f>
        <v>0.0225</v>
      </c>
      <c r="F204" s="45">
        <v>603000</v>
      </c>
      <c r="G204" s="36" t="s">
        <v>190</v>
      </c>
      <c r="H204" s="5"/>
      <c r="I204" s="5"/>
      <c r="J204" s="5"/>
    </row>
    <row r="205" spans="1:10" s="4" customFormat="1" ht="12.75">
      <c r="A205" s="2" t="s">
        <v>2</v>
      </c>
      <c r="B205" s="27" t="s">
        <v>496</v>
      </c>
      <c r="C205" s="2">
        <v>40</v>
      </c>
      <c r="D205" s="2" t="s">
        <v>8</v>
      </c>
      <c r="E205" s="25">
        <f>(532-45)/1000</f>
        <v>0.487</v>
      </c>
      <c r="F205" s="45">
        <v>590000</v>
      </c>
      <c r="G205" s="36" t="s">
        <v>267</v>
      </c>
      <c r="H205" s="70"/>
      <c r="I205" s="70"/>
      <c r="J205" s="70"/>
    </row>
    <row r="206" spans="1:10" ht="12.75">
      <c r="A206" s="2" t="s">
        <v>2</v>
      </c>
      <c r="B206" s="27" t="s">
        <v>216</v>
      </c>
      <c r="C206" s="2">
        <v>40</v>
      </c>
      <c r="D206" s="2" t="s">
        <v>8</v>
      </c>
      <c r="E206" s="25">
        <f>1.08+0.03-0.061-0.065-0.058-0.185-0.15-0.151-0.085-0.155+0.604-0.053-0.14-0.106</f>
        <v>0.505</v>
      </c>
      <c r="F206" s="45">
        <v>405000</v>
      </c>
      <c r="G206" s="36" t="s">
        <v>424</v>
      </c>
      <c r="H206" s="5"/>
      <c r="I206" s="5"/>
      <c r="J206" s="5"/>
    </row>
    <row r="207" spans="1:10" s="4" customFormat="1" ht="12.75">
      <c r="A207" s="2" t="s">
        <v>2</v>
      </c>
      <c r="B207" s="27" t="s">
        <v>215</v>
      </c>
      <c r="C207" s="2">
        <v>40</v>
      </c>
      <c r="D207" s="2" t="s">
        <v>8</v>
      </c>
      <c r="E207" s="2">
        <v>0.7</v>
      </c>
      <c r="F207" s="45">
        <v>620000</v>
      </c>
      <c r="G207" s="36" t="s">
        <v>395</v>
      </c>
      <c r="H207" s="5"/>
      <c r="I207" s="5"/>
      <c r="J207" s="5"/>
    </row>
    <row r="208" spans="1:10" s="4" customFormat="1" ht="12.75">
      <c r="A208" s="2" t="s">
        <v>2</v>
      </c>
      <c r="B208" s="27" t="s">
        <v>213</v>
      </c>
      <c r="C208" s="2">
        <v>40</v>
      </c>
      <c r="D208" s="2" t="s">
        <v>8</v>
      </c>
      <c r="E208" s="25">
        <f>(0.405-0.1-0.038-0.044-0.075+0.025)+0.122</f>
        <v>0.29500000000000004</v>
      </c>
      <c r="F208" s="45">
        <v>750000</v>
      </c>
      <c r="G208" s="36" t="s">
        <v>283</v>
      </c>
      <c r="H208" s="6"/>
      <c r="I208" s="6"/>
      <c r="J208" s="6"/>
    </row>
    <row r="209" spans="1:10" ht="12.75">
      <c r="A209" s="2" t="s">
        <v>2</v>
      </c>
      <c r="B209" s="27" t="s">
        <v>212</v>
      </c>
      <c r="C209" s="2">
        <v>40</v>
      </c>
      <c r="D209" s="2" t="s">
        <v>8</v>
      </c>
      <c r="E209" s="25">
        <f>0.971-0.114</f>
        <v>0.857</v>
      </c>
      <c r="F209" s="45">
        <v>750000</v>
      </c>
      <c r="G209" s="36" t="s">
        <v>327</v>
      </c>
      <c r="H209" s="6"/>
      <c r="I209" s="6"/>
      <c r="J209" s="6"/>
    </row>
    <row r="210" spans="1:10" s="4" customFormat="1" ht="12.75">
      <c r="A210" s="2" t="s">
        <v>2</v>
      </c>
      <c r="B210" s="27" t="s">
        <v>108</v>
      </c>
      <c r="C210" s="2">
        <v>40</v>
      </c>
      <c r="D210" s="2" t="s">
        <v>8</v>
      </c>
      <c r="E210" s="2">
        <f>(0.103+0.022+0.03)*0+0.14+0.08</f>
        <v>0.22000000000000003</v>
      </c>
      <c r="F210" s="45">
        <v>690000</v>
      </c>
      <c r="G210" s="36" t="s">
        <v>258</v>
      </c>
      <c r="H210" s="37"/>
      <c r="I210" s="37"/>
      <c r="J210" s="37"/>
    </row>
    <row r="211" spans="1:10" s="4" customFormat="1" ht="12.75">
      <c r="A211" s="2" t="s">
        <v>2</v>
      </c>
      <c r="B211" s="20" t="s">
        <v>209</v>
      </c>
      <c r="C211" s="2">
        <v>40</v>
      </c>
      <c r="D211" s="2" t="s">
        <v>8</v>
      </c>
      <c r="E211" s="2">
        <f>1.25-0.112-0.035*4-0.117-0.068-0.03*3-0.038</f>
        <v>0.6849999999999999</v>
      </c>
      <c r="F211" s="45">
        <v>490000</v>
      </c>
      <c r="G211" s="60"/>
      <c r="H211" s="6"/>
      <c r="I211" s="6"/>
      <c r="J211" s="6"/>
    </row>
    <row r="212" spans="1:10" s="4" customFormat="1" ht="12.75">
      <c r="A212" s="2" t="s">
        <v>2</v>
      </c>
      <c r="B212" s="23" t="s">
        <v>78</v>
      </c>
      <c r="C212" s="2">
        <v>40</v>
      </c>
      <c r="D212" s="2" t="s">
        <v>8</v>
      </c>
      <c r="E212" s="2">
        <f>(74-3-20)/1000</f>
        <v>0.051</v>
      </c>
      <c r="F212" s="45">
        <v>2000000</v>
      </c>
      <c r="G212" s="36"/>
      <c r="H212" s="6"/>
      <c r="I212" s="6"/>
      <c r="J212" s="6"/>
    </row>
    <row r="213" spans="1:10" s="4" customFormat="1" ht="12.75">
      <c r="A213" s="2" t="s">
        <v>2</v>
      </c>
      <c r="B213" s="27" t="s">
        <v>203</v>
      </c>
      <c r="C213" s="2">
        <v>40</v>
      </c>
      <c r="D213" s="2" t="s">
        <v>8</v>
      </c>
      <c r="E213" s="25">
        <f>0.772+0.214-0.1-0.005-0.048</f>
        <v>0.833</v>
      </c>
      <c r="F213" s="45">
        <v>1300000</v>
      </c>
      <c r="G213" s="36" t="s">
        <v>264</v>
      </c>
      <c r="H213" s="5"/>
      <c r="I213" s="5"/>
      <c r="J213" s="5"/>
    </row>
    <row r="214" spans="1:10" s="4" customFormat="1" ht="12.75">
      <c r="A214" s="2" t="s">
        <v>2</v>
      </c>
      <c r="B214" s="20" t="s">
        <v>201</v>
      </c>
      <c r="C214" s="2">
        <v>40</v>
      </c>
      <c r="D214" s="2" t="s">
        <v>8</v>
      </c>
      <c r="E214" s="2">
        <f>0.94-0.006-0.037-0.056-0.036-0.067-0.34-0.31+1.745-0.713-0.018-0.24</f>
        <v>0.8619999999999997</v>
      </c>
      <c r="F214" s="45">
        <v>400000</v>
      </c>
      <c r="G214" s="36" t="s">
        <v>439</v>
      </c>
      <c r="H214" s="6"/>
      <c r="I214" s="6"/>
      <c r="J214" s="6"/>
    </row>
    <row r="215" spans="1:10" s="4" customFormat="1" ht="12.75">
      <c r="A215" s="2" t="s">
        <v>2</v>
      </c>
      <c r="B215" s="27" t="s">
        <v>200</v>
      </c>
      <c r="C215" s="2">
        <v>40</v>
      </c>
      <c r="D215" s="2" t="s">
        <v>8</v>
      </c>
      <c r="E215" s="2">
        <v>0.26</v>
      </c>
      <c r="F215" s="45">
        <v>1200000</v>
      </c>
      <c r="G215" s="36" t="s">
        <v>358</v>
      </c>
      <c r="H215" s="5" t="s">
        <v>170</v>
      </c>
      <c r="I215" s="78">
        <v>43237</v>
      </c>
      <c r="J215" s="6"/>
    </row>
    <row r="216" spans="1:10" s="4" customFormat="1" ht="12.75">
      <c r="A216" s="2" t="s">
        <v>2</v>
      </c>
      <c r="B216" s="20" t="s">
        <v>198</v>
      </c>
      <c r="C216" s="2">
        <v>40</v>
      </c>
      <c r="D216" s="2" t="s">
        <v>8</v>
      </c>
      <c r="E216" s="2">
        <f>(795-35-100)/1000</f>
        <v>0.66</v>
      </c>
      <c r="F216" s="45">
        <v>475000</v>
      </c>
      <c r="G216" s="36" t="s">
        <v>382</v>
      </c>
      <c r="H216" s="6"/>
      <c r="I216" s="6"/>
      <c r="J216" s="6"/>
    </row>
    <row r="217" spans="1:10" ht="12.75">
      <c r="A217" s="2" t="s">
        <v>2</v>
      </c>
      <c r="B217" s="23" t="s">
        <v>575</v>
      </c>
      <c r="C217" s="2">
        <v>40</v>
      </c>
      <c r="D217" s="2" t="s">
        <v>8</v>
      </c>
      <c r="E217" s="25">
        <f>(59.8)/1000</f>
        <v>0.0598</v>
      </c>
      <c r="F217" s="45">
        <v>1200000</v>
      </c>
      <c r="G217" s="36"/>
      <c r="H217" s="6"/>
      <c r="I217" s="6"/>
      <c r="J217" s="6"/>
    </row>
    <row r="218" spans="1:248" ht="12.75">
      <c r="A218" s="2" t="s">
        <v>2</v>
      </c>
      <c r="B218" s="27" t="s">
        <v>210</v>
      </c>
      <c r="C218" s="2">
        <v>42</v>
      </c>
      <c r="D218" s="2" t="s">
        <v>8</v>
      </c>
      <c r="E218" s="25">
        <v>0.055</v>
      </c>
      <c r="F218" s="45">
        <v>250000</v>
      </c>
      <c r="G218" s="36"/>
      <c r="H218" s="6"/>
      <c r="I218" s="6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</row>
    <row r="219" spans="1:10" s="73" customFormat="1" ht="12.75">
      <c r="A219" s="2" t="s">
        <v>2</v>
      </c>
      <c r="B219" s="23" t="s">
        <v>81</v>
      </c>
      <c r="C219" s="2">
        <v>45</v>
      </c>
      <c r="D219" s="2" t="s">
        <v>8</v>
      </c>
      <c r="E219" s="2">
        <f>0.066</f>
        <v>0.066</v>
      </c>
      <c r="F219" s="45">
        <v>240000</v>
      </c>
      <c r="G219" s="36" t="s">
        <v>391</v>
      </c>
      <c r="H219" s="6"/>
      <c r="I219" s="6"/>
      <c r="J219" s="6"/>
    </row>
    <row r="220" spans="1:10" s="4" customFormat="1" ht="12.75">
      <c r="A220" s="2" t="s">
        <v>2</v>
      </c>
      <c r="B220" s="23" t="s">
        <v>79</v>
      </c>
      <c r="C220" s="2">
        <v>45</v>
      </c>
      <c r="D220" s="2" t="s">
        <v>8</v>
      </c>
      <c r="E220" s="25">
        <f>0.072-0.035</f>
        <v>0.03699999999999999</v>
      </c>
      <c r="F220" s="45">
        <v>750000</v>
      </c>
      <c r="G220" s="36" t="s">
        <v>312</v>
      </c>
      <c r="H220" s="6"/>
      <c r="I220" s="6"/>
      <c r="J220" s="6"/>
    </row>
    <row r="221" spans="1:10" s="4" customFormat="1" ht="12.75">
      <c r="A221" s="2" t="s">
        <v>2</v>
      </c>
      <c r="B221" s="27" t="s">
        <v>216</v>
      </c>
      <c r="C221" s="2">
        <v>45</v>
      </c>
      <c r="D221" s="2" t="s">
        <v>8</v>
      </c>
      <c r="E221" s="2">
        <f>(126+43+250)/1000</f>
        <v>0.419</v>
      </c>
      <c r="F221" s="45">
        <v>417000</v>
      </c>
      <c r="G221" s="36" t="s">
        <v>424</v>
      </c>
      <c r="H221" s="6" t="s">
        <v>282</v>
      </c>
      <c r="I221" s="46">
        <v>43193</v>
      </c>
      <c r="J221" s="39" t="s">
        <v>558</v>
      </c>
    </row>
    <row r="222" spans="1:10" s="4" customFormat="1" ht="12.75">
      <c r="A222" s="2" t="s">
        <v>2</v>
      </c>
      <c r="B222" s="27" t="s">
        <v>213</v>
      </c>
      <c r="C222" s="2">
        <v>45</v>
      </c>
      <c r="D222" s="2" t="s">
        <v>8</v>
      </c>
      <c r="E222" s="25">
        <v>0.29</v>
      </c>
      <c r="F222" s="45">
        <v>750000</v>
      </c>
      <c r="G222" s="36" t="s">
        <v>475</v>
      </c>
      <c r="H222" s="6"/>
      <c r="I222" s="6"/>
      <c r="J222" s="6"/>
    </row>
    <row r="223" spans="1:10" s="4" customFormat="1" ht="12.75">
      <c r="A223" s="2" t="s">
        <v>2</v>
      </c>
      <c r="B223" s="27" t="s">
        <v>211</v>
      </c>
      <c r="C223" s="2">
        <v>45</v>
      </c>
      <c r="D223" s="2" t="s">
        <v>8</v>
      </c>
      <c r="E223" s="2">
        <v>0.245</v>
      </c>
      <c r="F223" s="45">
        <v>745000</v>
      </c>
      <c r="G223" s="36" t="s">
        <v>251</v>
      </c>
      <c r="H223" s="6"/>
      <c r="I223" s="6"/>
      <c r="J223" s="6"/>
    </row>
    <row r="224" spans="1:10" s="4" customFormat="1" ht="12.75">
      <c r="A224" s="2" t="s">
        <v>2</v>
      </c>
      <c r="B224" s="27" t="s">
        <v>210</v>
      </c>
      <c r="C224" s="2">
        <v>45</v>
      </c>
      <c r="D224" s="2" t="s">
        <v>8</v>
      </c>
      <c r="E224" s="25">
        <v>0.08</v>
      </c>
      <c r="F224" s="45">
        <v>270000</v>
      </c>
      <c r="G224" s="36"/>
      <c r="H224" s="6" t="s">
        <v>483</v>
      </c>
      <c r="I224" s="46">
        <v>43125</v>
      </c>
      <c r="J224" s="41"/>
    </row>
    <row r="225" spans="1:10" s="4" customFormat="1" ht="12.75">
      <c r="A225" s="2" t="s">
        <v>2</v>
      </c>
      <c r="B225" s="20" t="s">
        <v>209</v>
      </c>
      <c r="C225" s="2">
        <v>45</v>
      </c>
      <c r="D225" s="2" t="s">
        <v>8</v>
      </c>
      <c r="E225" s="2">
        <f>0.643-0.072-0.006-0.072</f>
        <v>0.49300000000000005</v>
      </c>
      <c r="F225" s="45">
        <v>490000</v>
      </c>
      <c r="G225" s="36" t="s">
        <v>461</v>
      </c>
      <c r="H225" s="5"/>
      <c r="I225" s="5"/>
      <c r="J225" s="5"/>
    </row>
    <row r="226" spans="1:10" s="4" customFormat="1" ht="12.75">
      <c r="A226" s="2" t="s">
        <v>2</v>
      </c>
      <c r="B226" s="20" t="s">
        <v>110</v>
      </c>
      <c r="C226" s="2">
        <v>45</v>
      </c>
      <c r="D226" s="2" t="s">
        <v>8</v>
      </c>
      <c r="E226" s="25">
        <f>0.0166</f>
        <v>0.0166</v>
      </c>
      <c r="F226" s="45">
        <v>603000</v>
      </c>
      <c r="G226" s="36" t="s">
        <v>349</v>
      </c>
      <c r="H226" s="6"/>
      <c r="I226" s="6"/>
      <c r="J226" s="6"/>
    </row>
    <row r="227" spans="1:10" s="4" customFormat="1" ht="12.75">
      <c r="A227" s="2" t="s">
        <v>2</v>
      </c>
      <c r="B227" s="20" t="s">
        <v>198</v>
      </c>
      <c r="C227" s="2">
        <v>45</v>
      </c>
      <c r="D227" s="2" t="s">
        <v>8</v>
      </c>
      <c r="E227" s="2">
        <f>0.068+0.329</f>
        <v>0.397</v>
      </c>
      <c r="F227" s="45">
        <v>475000</v>
      </c>
      <c r="G227" s="36" t="s">
        <v>428</v>
      </c>
      <c r="H227" s="6"/>
      <c r="I227" s="6"/>
      <c r="J227" s="6"/>
    </row>
    <row r="228" spans="1:10" s="4" customFormat="1" ht="12.75">
      <c r="A228" s="2" t="s">
        <v>2</v>
      </c>
      <c r="B228" s="20" t="s">
        <v>230</v>
      </c>
      <c r="C228" s="2">
        <v>45</v>
      </c>
      <c r="D228" s="2" t="s">
        <v>8</v>
      </c>
      <c r="E228" s="25">
        <f>(9.8)/1000</f>
        <v>0.009800000000000001</v>
      </c>
      <c r="F228" s="45">
        <v>850000</v>
      </c>
      <c r="G228" s="85"/>
      <c r="H228" s="6"/>
      <c r="I228" s="49"/>
      <c r="J228" s="39"/>
    </row>
    <row r="229" spans="1:10" s="4" customFormat="1" ht="12.75">
      <c r="A229" s="2" t="s">
        <v>2</v>
      </c>
      <c r="B229" s="27" t="s">
        <v>210</v>
      </c>
      <c r="C229" s="2">
        <v>46</v>
      </c>
      <c r="D229" s="2" t="s">
        <v>8</v>
      </c>
      <c r="E229" s="2">
        <f>0.834-0.007-0.013-0.013-0.142-0.058-0.041-0.081</f>
        <v>0.4789999999999998</v>
      </c>
      <c r="F229" s="45">
        <v>390000</v>
      </c>
      <c r="G229" s="36" t="s">
        <v>440</v>
      </c>
      <c r="H229" s="6"/>
      <c r="I229" s="6"/>
      <c r="J229" s="6"/>
    </row>
    <row r="230" spans="1:10" s="4" customFormat="1" ht="12.75">
      <c r="A230" s="2" t="s">
        <v>2</v>
      </c>
      <c r="B230" s="27" t="s">
        <v>200</v>
      </c>
      <c r="C230" s="2">
        <v>46</v>
      </c>
      <c r="D230" s="2" t="s">
        <v>8</v>
      </c>
      <c r="E230" s="25">
        <f>0.2578-0.0214-0.026-0.008-0.0426-0.0471-0.016</f>
        <v>0.09669999999999997</v>
      </c>
      <c r="F230" s="45">
        <v>1200000</v>
      </c>
      <c r="G230" s="36" t="s">
        <v>358</v>
      </c>
      <c r="H230" s="6"/>
      <c r="I230" s="6"/>
      <c r="J230" s="6"/>
    </row>
    <row r="231" spans="1:10" s="4" customFormat="1" ht="12.75">
      <c r="A231" s="2" t="s">
        <v>2</v>
      </c>
      <c r="B231" s="20" t="s">
        <v>198</v>
      </c>
      <c r="C231" s="2">
        <v>48</v>
      </c>
      <c r="D231" s="2" t="s">
        <v>8</v>
      </c>
      <c r="E231" s="2">
        <v>0.03</v>
      </c>
      <c r="F231" s="45">
        <v>475000</v>
      </c>
      <c r="G231" s="36" t="s">
        <v>174</v>
      </c>
      <c r="H231" s="6"/>
      <c r="I231" s="6"/>
      <c r="J231" s="6"/>
    </row>
    <row r="232" spans="1:10" s="4" customFormat="1" ht="12.75">
      <c r="A232" s="65" t="s">
        <v>2</v>
      </c>
      <c r="B232" s="69" t="s">
        <v>496</v>
      </c>
      <c r="C232" s="65">
        <v>50</v>
      </c>
      <c r="D232" s="65" t="s">
        <v>8</v>
      </c>
      <c r="E232" s="65">
        <v>0.7</v>
      </c>
      <c r="F232" s="67" t="s">
        <v>606</v>
      </c>
      <c r="G232" s="68" t="s">
        <v>546</v>
      </c>
      <c r="H232" s="6" t="s">
        <v>282</v>
      </c>
      <c r="I232" s="46" t="s">
        <v>547</v>
      </c>
      <c r="J232" s="39">
        <v>630</v>
      </c>
    </row>
    <row r="233" spans="1:10" s="4" customFormat="1" ht="12.75">
      <c r="A233" s="2" t="s">
        <v>2</v>
      </c>
      <c r="B233" s="27" t="s">
        <v>216</v>
      </c>
      <c r="C233" s="2">
        <v>50</v>
      </c>
      <c r="D233" s="2" t="s">
        <v>8</v>
      </c>
      <c r="E233" s="2">
        <f>1+0.048-0.096-0.047+0.236-0.061-0.03-0.104-0.2-0.354-0.109-0.073+0.062-0.08</f>
        <v>0.192</v>
      </c>
      <c r="F233" s="45">
        <v>405000</v>
      </c>
      <c r="G233" s="36" t="s">
        <v>424</v>
      </c>
      <c r="H233" s="5"/>
      <c r="I233" s="5"/>
      <c r="J233" s="5"/>
    </row>
    <row r="234" spans="1:10" ht="12.75">
      <c r="A234" s="2" t="s">
        <v>2</v>
      </c>
      <c r="B234" s="30" t="s">
        <v>88</v>
      </c>
      <c r="C234" s="2">
        <v>50</v>
      </c>
      <c r="D234" s="2" t="s">
        <v>8</v>
      </c>
      <c r="E234" s="2">
        <f>0.11+0.116</f>
        <v>0.226</v>
      </c>
      <c r="F234" s="45">
        <v>1500000</v>
      </c>
      <c r="G234" s="36" t="s">
        <v>310</v>
      </c>
      <c r="H234" s="6"/>
      <c r="I234" s="6"/>
      <c r="J234" s="6"/>
    </row>
    <row r="235" spans="1:10" ht="12.75">
      <c r="A235" s="2" t="s">
        <v>2</v>
      </c>
      <c r="B235" s="27" t="s">
        <v>213</v>
      </c>
      <c r="C235" s="2">
        <v>50</v>
      </c>
      <c r="D235" s="2" t="s">
        <v>8</v>
      </c>
      <c r="E235" s="25">
        <f>2.082+0.0387-0.102-0.155-0.069-0.016</f>
        <v>1.7787</v>
      </c>
      <c r="F235" s="45">
        <v>750000</v>
      </c>
      <c r="G235" s="36" t="s">
        <v>327</v>
      </c>
      <c r="H235" s="6"/>
      <c r="I235" s="6"/>
      <c r="J235" s="6"/>
    </row>
    <row r="236" spans="1:10" s="4" customFormat="1" ht="12.75">
      <c r="A236" s="2" t="s">
        <v>2</v>
      </c>
      <c r="B236" s="27" t="s">
        <v>210</v>
      </c>
      <c r="C236" s="2">
        <v>50</v>
      </c>
      <c r="D236" s="2" t="s">
        <v>8</v>
      </c>
      <c r="E236" s="2">
        <f>0.08-0.032</f>
        <v>0.048</v>
      </c>
      <c r="F236" s="45">
        <v>250000</v>
      </c>
      <c r="G236" s="36"/>
      <c r="H236" s="6"/>
      <c r="I236" s="6"/>
      <c r="J236" s="6"/>
    </row>
    <row r="237" spans="1:10" s="4" customFormat="1" ht="12.75">
      <c r="A237" s="2" t="s">
        <v>2</v>
      </c>
      <c r="B237" s="27" t="s">
        <v>108</v>
      </c>
      <c r="C237" s="2">
        <v>50</v>
      </c>
      <c r="D237" s="2" t="s">
        <v>8</v>
      </c>
      <c r="E237" s="2">
        <f>0.292-0.061+0.125+0.166</f>
        <v>0.522</v>
      </c>
      <c r="F237" s="45">
        <v>690000</v>
      </c>
      <c r="G237" s="36" t="s">
        <v>234</v>
      </c>
      <c r="H237" s="6"/>
      <c r="I237" s="6"/>
      <c r="J237" s="6"/>
    </row>
    <row r="238" spans="1:10" s="4" customFormat="1" ht="12.75">
      <c r="A238" s="2" t="s">
        <v>2</v>
      </c>
      <c r="B238" s="20" t="s">
        <v>209</v>
      </c>
      <c r="C238" s="2">
        <v>50</v>
      </c>
      <c r="D238" s="2" t="s">
        <v>8</v>
      </c>
      <c r="E238" s="25">
        <f>(15.7+20)/1000</f>
        <v>0.0357</v>
      </c>
      <c r="F238" s="45">
        <v>490000</v>
      </c>
      <c r="G238" s="36"/>
      <c r="H238" s="6"/>
      <c r="I238" s="6"/>
      <c r="J238" s="6"/>
    </row>
    <row r="239" spans="1:10" s="4" customFormat="1" ht="12.75">
      <c r="A239" s="2" t="s">
        <v>2</v>
      </c>
      <c r="B239" s="22" t="s">
        <v>307</v>
      </c>
      <c r="C239" s="2">
        <v>50</v>
      </c>
      <c r="D239" s="2" t="s">
        <v>8</v>
      </c>
      <c r="E239" s="2">
        <v>0.462</v>
      </c>
      <c r="F239" s="45">
        <v>300000</v>
      </c>
      <c r="G239" s="36" t="s">
        <v>442</v>
      </c>
      <c r="H239" s="6"/>
      <c r="I239" s="6"/>
      <c r="J239" s="6"/>
    </row>
    <row r="240" spans="1:10" s="4" customFormat="1" ht="12.75">
      <c r="A240" s="2" t="s">
        <v>2</v>
      </c>
      <c r="B240" s="23" t="s">
        <v>181</v>
      </c>
      <c r="C240" s="2">
        <v>50</v>
      </c>
      <c r="D240" s="2" t="s">
        <v>8</v>
      </c>
      <c r="E240" s="25">
        <f>0.245+0.25+0.235-0.23-0.09</f>
        <v>0.41000000000000003</v>
      </c>
      <c r="F240" s="45">
        <v>430000</v>
      </c>
      <c r="G240" s="36" t="s">
        <v>463</v>
      </c>
      <c r="H240" s="70"/>
      <c r="I240" s="70"/>
      <c r="J240" s="70"/>
    </row>
    <row r="241" spans="1:10" s="4" customFormat="1" ht="12.75">
      <c r="A241" s="2" t="s">
        <v>2</v>
      </c>
      <c r="B241" s="27" t="s">
        <v>203</v>
      </c>
      <c r="C241" s="2">
        <v>50</v>
      </c>
      <c r="D241" s="2" t="s">
        <v>8</v>
      </c>
      <c r="E241" s="25">
        <f>1.027+0.218-0.11-0.378</f>
        <v>0.7569999999999998</v>
      </c>
      <c r="F241" s="45">
        <v>1300000</v>
      </c>
      <c r="G241" s="36" t="s">
        <v>264</v>
      </c>
      <c r="H241" s="6"/>
      <c r="I241" s="6"/>
      <c r="J241" s="6"/>
    </row>
    <row r="242" spans="1:10" s="4" customFormat="1" ht="12.75">
      <c r="A242" s="2" t="s">
        <v>2</v>
      </c>
      <c r="B242" s="20" t="s">
        <v>110</v>
      </c>
      <c r="C242" s="2">
        <v>50</v>
      </c>
      <c r="D242" s="2" t="s">
        <v>8</v>
      </c>
      <c r="E242" s="25">
        <f>(45.5)/1000</f>
        <v>0.0455</v>
      </c>
      <c r="F242" s="45">
        <v>603000</v>
      </c>
      <c r="G242" s="36" t="s">
        <v>587</v>
      </c>
      <c r="H242" s="6" t="s">
        <v>170</v>
      </c>
      <c r="I242" s="49">
        <v>43235</v>
      </c>
      <c r="J242" s="39"/>
    </row>
    <row r="243" spans="1:10" s="4" customFormat="1" ht="12.75">
      <c r="A243" s="2" t="s">
        <v>2</v>
      </c>
      <c r="B243" s="27" t="s">
        <v>200</v>
      </c>
      <c r="C243" s="2">
        <v>50</v>
      </c>
      <c r="D243" s="2" t="s">
        <v>8</v>
      </c>
      <c r="E243" s="2">
        <f>23.5/1000</f>
        <v>0.0235</v>
      </c>
      <c r="F243" s="45">
        <v>1200000</v>
      </c>
      <c r="G243" s="36" t="s">
        <v>358</v>
      </c>
      <c r="H243" s="5" t="s">
        <v>170</v>
      </c>
      <c r="I243" s="78">
        <v>43237</v>
      </c>
      <c r="J243" s="6"/>
    </row>
    <row r="244" spans="1:10" s="4" customFormat="1" ht="12.75">
      <c r="A244" s="2" t="s">
        <v>2</v>
      </c>
      <c r="B244" s="20" t="s">
        <v>198</v>
      </c>
      <c r="C244" s="2">
        <v>50</v>
      </c>
      <c r="D244" s="2" t="s">
        <v>8</v>
      </c>
      <c r="E244" s="2">
        <f>0.44+0.015-0.066+0.145+0.09-0.056+0.024-0.118-0.264+0.143-0.101+0.165-0.092</f>
        <v>0.32500000000000007</v>
      </c>
      <c r="F244" s="45">
        <v>475000</v>
      </c>
      <c r="G244" s="36" t="s">
        <v>348</v>
      </c>
      <c r="H244" s="6"/>
      <c r="I244" s="6"/>
      <c r="J244" s="6"/>
    </row>
    <row r="245" spans="1:10" s="4" customFormat="1" ht="12.75">
      <c r="A245" s="2" t="s">
        <v>2</v>
      </c>
      <c r="B245" s="21" t="s">
        <v>226</v>
      </c>
      <c r="C245" s="2">
        <v>50</v>
      </c>
      <c r="D245" s="2" t="s">
        <v>8</v>
      </c>
      <c r="E245" s="2">
        <f>0.057-0.011</f>
        <v>0.046</v>
      </c>
      <c r="F245" s="45">
        <v>425000</v>
      </c>
      <c r="G245" s="61"/>
      <c r="H245" s="6"/>
      <c r="I245" s="6"/>
      <c r="J245" s="6"/>
    </row>
    <row r="246" spans="1:10" s="4" customFormat="1" ht="12.75">
      <c r="A246" s="2" t="s">
        <v>2</v>
      </c>
      <c r="B246" s="20" t="s">
        <v>230</v>
      </c>
      <c r="C246" s="2">
        <v>50</v>
      </c>
      <c r="D246" s="2" t="s">
        <v>8</v>
      </c>
      <c r="E246" s="25">
        <f>(21.5+61.8)/1000</f>
        <v>0.0833</v>
      </c>
      <c r="F246" s="45">
        <v>850000</v>
      </c>
      <c r="G246" s="36"/>
      <c r="H246" s="6"/>
      <c r="I246" s="49"/>
      <c r="J246" s="39"/>
    </row>
    <row r="247" spans="1:10" s="4" customFormat="1" ht="12.75">
      <c r="A247" s="2" t="s">
        <v>2</v>
      </c>
      <c r="B247" s="27" t="s">
        <v>521</v>
      </c>
      <c r="C247" s="2">
        <v>50</v>
      </c>
      <c r="D247" s="2" t="s">
        <v>8</v>
      </c>
      <c r="E247" s="2">
        <f>0.412-0.017</f>
        <v>0.39499999999999996</v>
      </c>
      <c r="F247" s="45">
        <v>1350000</v>
      </c>
      <c r="G247" s="36" t="s">
        <v>518</v>
      </c>
      <c r="H247" s="6"/>
      <c r="I247" s="46"/>
      <c r="J247" s="36"/>
    </row>
    <row r="248" spans="1:10" s="4" customFormat="1" ht="12.75">
      <c r="A248" s="2" t="s">
        <v>2</v>
      </c>
      <c r="B248" s="27" t="s">
        <v>212</v>
      </c>
      <c r="C248" s="2">
        <v>53</v>
      </c>
      <c r="D248" s="2" t="s">
        <v>8</v>
      </c>
      <c r="E248" s="25">
        <v>1.07</v>
      </c>
      <c r="F248" s="45">
        <v>750000</v>
      </c>
      <c r="G248" s="36" t="s">
        <v>327</v>
      </c>
      <c r="H248" s="6"/>
      <c r="I248" s="6"/>
      <c r="J248" s="6"/>
    </row>
    <row r="249" spans="1:10" s="40" customFormat="1" ht="12.75">
      <c r="A249" s="2" t="s">
        <v>2</v>
      </c>
      <c r="B249" s="27" t="s">
        <v>108</v>
      </c>
      <c r="C249" s="2">
        <v>55</v>
      </c>
      <c r="D249" s="2" t="s">
        <v>8</v>
      </c>
      <c r="E249" s="25">
        <f>0.102+0.104</f>
        <v>0.206</v>
      </c>
      <c r="F249" s="45">
        <v>690000</v>
      </c>
      <c r="G249" s="36" t="s">
        <v>569</v>
      </c>
      <c r="H249" s="6"/>
      <c r="I249" s="6"/>
      <c r="J249" s="6"/>
    </row>
    <row r="250" spans="1:10" s="4" customFormat="1" ht="12.75">
      <c r="A250" s="2" t="s">
        <v>2</v>
      </c>
      <c r="B250" s="20" t="s">
        <v>209</v>
      </c>
      <c r="C250" s="2">
        <v>55</v>
      </c>
      <c r="D250" s="2" t="s">
        <v>8</v>
      </c>
      <c r="E250" s="25">
        <f>(41+420)/1000</f>
        <v>0.461</v>
      </c>
      <c r="F250" s="45">
        <v>490000</v>
      </c>
      <c r="G250" s="36" t="s">
        <v>476</v>
      </c>
      <c r="H250" s="6"/>
      <c r="I250" s="6"/>
      <c r="J250" s="6"/>
    </row>
    <row r="251" spans="1:10" s="4" customFormat="1" ht="12.75">
      <c r="A251" s="2" t="s">
        <v>2</v>
      </c>
      <c r="B251" s="23" t="s">
        <v>78</v>
      </c>
      <c r="C251" s="2">
        <v>55</v>
      </c>
      <c r="D251" s="2" t="s">
        <v>8</v>
      </c>
      <c r="E251" s="25">
        <f>(88-6)/1000</f>
        <v>0.082</v>
      </c>
      <c r="F251" s="45">
        <v>2000000</v>
      </c>
      <c r="G251" s="36" t="s">
        <v>355</v>
      </c>
      <c r="H251" s="37"/>
      <c r="I251" s="37"/>
      <c r="J251" s="37"/>
    </row>
    <row r="252" spans="1:10" s="4" customFormat="1" ht="12.75">
      <c r="A252" s="2" t="s">
        <v>2</v>
      </c>
      <c r="B252" s="20" t="s">
        <v>110</v>
      </c>
      <c r="C252" s="2">
        <v>55</v>
      </c>
      <c r="D252" s="2" t="s">
        <v>8</v>
      </c>
      <c r="E252" s="2">
        <f>0.134+0.03</f>
        <v>0.164</v>
      </c>
      <c r="F252" s="45">
        <v>540000</v>
      </c>
      <c r="G252" s="36" t="s">
        <v>144</v>
      </c>
      <c r="H252" s="6"/>
      <c r="I252" s="6"/>
      <c r="J252" s="6"/>
    </row>
    <row r="253" spans="1:10" s="40" customFormat="1" ht="12.75">
      <c r="A253" s="65" t="s">
        <v>2</v>
      </c>
      <c r="B253" s="66" t="s">
        <v>198</v>
      </c>
      <c r="C253" s="65">
        <v>55</v>
      </c>
      <c r="D253" s="65" t="s">
        <v>8</v>
      </c>
      <c r="E253" s="65">
        <v>0.094</v>
      </c>
      <c r="F253" s="67">
        <v>435000</v>
      </c>
      <c r="G253" s="68" t="s">
        <v>618</v>
      </c>
      <c r="H253" s="37"/>
      <c r="I253" s="37"/>
      <c r="J253" s="37"/>
    </row>
    <row r="254" spans="1:10" s="4" customFormat="1" ht="12.75">
      <c r="A254" s="2" t="s">
        <v>2</v>
      </c>
      <c r="B254" s="23" t="s">
        <v>81</v>
      </c>
      <c r="C254" s="2">
        <v>56</v>
      </c>
      <c r="D254" s="2" t="s">
        <v>8</v>
      </c>
      <c r="E254" s="2">
        <f>(88-19)/1000</f>
        <v>0.069</v>
      </c>
      <c r="F254" s="45">
        <v>280000</v>
      </c>
      <c r="G254" s="36" t="s">
        <v>551</v>
      </c>
      <c r="H254" s="5" t="s">
        <v>281</v>
      </c>
      <c r="I254" s="58">
        <v>42633</v>
      </c>
      <c r="J254" s="42" t="s">
        <v>371</v>
      </c>
    </row>
    <row r="255" spans="1:10" s="4" customFormat="1" ht="12.75">
      <c r="A255" s="2" t="s">
        <v>2</v>
      </c>
      <c r="B255" s="27" t="s">
        <v>216</v>
      </c>
      <c r="C255" s="2">
        <v>56</v>
      </c>
      <c r="D255" s="2" t="s">
        <v>8</v>
      </c>
      <c r="E255" s="25">
        <f>(206-59)/1000</f>
        <v>0.147</v>
      </c>
      <c r="F255" s="45">
        <v>415000</v>
      </c>
      <c r="G255" s="36" t="s">
        <v>424</v>
      </c>
      <c r="H255" s="70"/>
      <c r="I255" s="70"/>
      <c r="J255" s="70"/>
    </row>
    <row r="256" spans="1:10" s="4" customFormat="1" ht="12.75">
      <c r="A256" s="65" t="s">
        <v>2</v>
      </c>
      <c r="B256" s="69" t="s">
        <v>216</v>
      </c>
      <c r="C256" s="65">
        <v>56</v>
      </c>
      <c r="D256" s="65" t="s">
        <v>8</v>
      </c>
      <c r="E256" s="80">
        <f>(60)/1000</f>
        <v>0.06</v>
      </c>
      <c r="F256" s="67">
        <v>415000</v>
      </c>
      <c r="G256" s="68" t="s">
        <v>424</v>
      </c>
      <c r="H256" s="70"/>
      <c r="I256" s="70"/>
      <c r="J256" s="70"/>
    </row>
    <row r="257" spans="1:10" s="40" customFormat="1" ht="12.75">
      <c r="A257" s="2" t="s">
        <v>2</v>
      </c>
      <c r="B257" s="27" t="s">
        <v>108</v>
      </c>
      <c r="C257" s="2">
        <v>56</v>
      </c>
      <c r="D257" s="2" t="s">
        <v>8</v>
      </c>
      <c r="E257" s="25">
        <v>0.14</v>
      </c>
      <c r="F257" s="45">
        <v>690000</v>
      </c>
      <c r="G257" s="36" t="s">
        <v>258</v>
      </c>
      <c r="H257" s="70"/>
      <c r="I257" s="70"/>
      <c r="J257" s="70"/>
    </row>
    <row r="258" spans="1:10" s="40" customFormat="1" ht="12.75">
      <c r="A258" s="2" t="s">
        <v>2</v>
      </c>
      <c r="B258" s="20" t="s">
        <v>198</v>
      </c>
      <c r="C258" s="2">
        <v>56</v>
      </c>
      <c r="D258" s="2" t="s">
        <v>8</v>
      </c>
      <c r="E258" s="2">
        <f>0.226-0.039</f>
        <v>0.187</v>
      </c>
      <c r="F258" s="45">
        <v>475000</v>
      </c>
      <c r="G258" s="36" t="s">
        <v>348</v>
      </c>
      <c r="H258" s="37"/>
      <c r="I258" s="37"/>
      <c r="J258" s="37"/>
    </row>
    <row r="259" spans="1:10" s="40" customFormat="1" ht="12.75">
      <c r="A259" s="2" t="s">
        <v>2</v>
      </c>
      <c r="B259" s="27" t="s">
        <v>210</v>
      </c>
      <c r="C259" s="2">
        <v>58</v>
      </c>
      <c r="D259" s="2" t="s">
        <v>8</v>
      </c>
      <c r="E259" s="2">
        <f>0.02</f>
        <v>0.02</v>
      </c>
      <c r="F259" s="45">
        <v>340000</v>
      </c>
      <c r="G259" s="36" t="s">
        <v>229</v>
      </c>
      <c r="H259" s="6"/>
      <c r="I259" s="6"/>
      <c r="J259" s="6"/>
    </row>
    <row r="260" spans="1:10" s="4" customFormat="1" ht="12.75">
      <c r="A260" s="65" t="s">
        <v>2</v>
      </c>
      <c r="B260" s="69" t="s">
        <v>496</v>
      </c>
      <c r="C260" s="65">
        <v>60</v>
      </c>
      <c r="D260" s="65" t="s">
        <v>8</v>
      </c>
      <c r="E260" s="65">
        <v>0.4</v>
      </c>
      <c r="F260" s="67" t="s">
        <v>606</v>
      </c>
      <c r="G260" s="68" t="s">
        <v>546</v>
      </c>
      <c r="H260" s="6"/>
      <c r="I260" s="46"/>
      <c r="J260" s="36"/>
    </row>
    <row r="261" spans="1:10" s="4" customFormat="1" ht="12.75">
      <c r="A261" s="65" t="s">
        <v>2</v>
      </c>
      <c r="B261" s="69" t="s">
        <v>496</v>
      </c>
      <c r="C261" s="65">
        <v>60</v>
      </c>
      <c r="D261" s="65" t="s">
        <v>8</v>
      </c>
      <c r="E261" s="65">
        <v>0.5</v>
      </c>
      <c r="F261" s="67" t="s">
        <v>606</v>
      </c>
      <c r="G261" s="68" t="s">
        <v>546</v>
      </c>
      <c r="H261" s="6"/>
      <c r="I261" s="46"/>
      <c r="J261" s="36"/>
    </row>
    <row r="262" spans="1:10" s="4" customFormat="1" ht="12.75">
      <c r="A262" s="2" t="s">
        <v>2</v>
      </c>
      <c r="B262" s="27" t="s">
        <v>216</v>
      </c>
      <c r="C262" s="2">
        <v>60</v>
      </c>
      <c r="D262" s="2" t="s">
        <v>8</v>
      </c>
      <c r="E262" s="2">
        <f>1.132-0.105-0.051-0.028-0.052-0.16-0.075-0.11</f>
        <v>0.5509999999999998</v>
      </c>
      <c r="F262" s="45">
        <v>405000</v>
      </c>
      <c r="G262" s="36" t="s">
        <v>462</v>
      </c>
      <c r="H262" s="6"/>
      <c r="I262" s="6"/>
      <c r="J262" s="6"/>
    </row>
    <row r="263" spans="1:10" s="4" customFormat="1" ht="12.75">
      <c r="A263" s="2" t="s">
        <v>2</v>
      </c>
      <c r="B263" s="27" t="s">
        <v>216</v>
      </c>
      <c r="C263" s="2">
        <v>60</v>
      </c>
      <c r="D263" s="2" t="s">
        <v>8</v>
      </c>
      <c r="E263" s="25">
        <f>(485-23-10-88-5-30-146-123)/1000</f>
        <v>0.06</v>
      </c>
      <c r="F263" s="45">
        <v>405000</v>
      </c>
      <c r="G263" s="36" t="s">
        <v>424</v>
      </c>
      <c r="H263" s="70"/>
      <c r="I263" s="70"/>
      <c r="J263" s="70"/>
    </row>
    <row r="264" spans="1:10" s="4" customFormat="1" ht="12.75">
      <c r="A264" s="65" t="s">
        <v>2</v>
      </c>
      <c r="B264" s="69" t="s">
        <v>216</v>
      </c>
      <c r="C264" s="65">
        <v>60</v>
      </c>
      <c r="D264" s="65" t="s">
        <v>8</v>
      </c>
      <c r="E264" s="80">
        <v>1.067</v>
      </c>
      <c r="F264" s="67">
        <v>405000</v>
      </c>
      <c r="G264" s="68" t="s">
        <v>424</v>
      </c>
      <c r="H264" s="70" t="s">
        <v>281</v>
      </c>
      <c r="I264" s="46">
        <v>43047</v>
      </c>
      <c r="J264" s="72" t="s">
        <v>278</v>
      </c>
    </row>
    <row r="265" spans="1:10" s="4" customFormat="1" ht="12.75">
      <c r="A265" s="2" t="s">
        <v>2</v>
      </c>
      <c r="B265" s="27" t="s">
        <v>215</v>
      </c>
      <c r="C265" s="2">
        <v>60</v>
      </c>
      <c r="D265" s="2" t="s">
        <v>8</v>
      </c>
      <c r="E265" s="2">
        <f>0.13-0.004-0.041</f>
        <v>0.08499999999999999</v>
      </c>
      <c r="F265" s="45">
        <v>620000</v>
      </c>
      <c r="G265" s="6"/>
      <c r="H265" s="6"/>
      <c r="I265" s="6"/>
      <c r="J265" s="6"/>
    </row>
    <row r="266" spans="1:10" s="4" customFormat="1" ht="12.75">
      <c r="A266" s="2" t="s">
        <v>2</v>
      </c>
      <c r="B266" s="27" t="s">
        <v>213</v>
      </c>
      <c r="C266" s="2">
        <v>60</v>
      </c>
      <c r="D266" s="2" t="s">
        <v>8</v>
      </c>
      <c r="E266" s="25">
        <f>1.025-0.012-0.084-0.058-0.09+0.081</f>
        <v>0.8619999999999999</v>
      </c>
      <c r="F266" s="45">
        <v>750000</v>
      </c>
      <c r="G266" s="36" t="s">
        <v>327</v>
      </c>
      <c r="H266" s="6"/>
      <c r="I266" s="6"/>
      <c r="J266" s="6"/>
    </row>
    <row r="267" spans="1:10" s="4" customFormat="1" ht="12.75">
      <c r="A267" s="2" t="s">
        <v>2</v>
      </c>
      <c r="B267" s="27" t="s">
        <v>210</v>
      </c>
      <c r="C267" s="2">
        <v>60</v>
      </c>
      <c r="D267" s="2" t="s">
        <v>8</v>
      </c>
      <c r="E267" s="2">
        <f>0.14+0.204-0.022-0.081</f>
        <v>0.24099999999999994</v>
      </c>
      <c r="F267" s="45">
        <v>390000</v>
      </c>
      <c r="G267" s="36" t="s">
        <v>363</v>
      </c>
      <c r="H267" s="37"/>
      <c r="I267" s="37"/>
      <c r="J267" s="6"/>
    </row>
    <row r="268" spans="1:10" s="3" customFormat="1" ht="12.75">
      <c r="A268" s="2" t="s">
        <v>2</v>
      </c>
      <c r="B268" s="23" t="s">
        <v>96</v>
      </c>
      <c r="C268" s="2">
        <v>60</v>
      </c>
      <c r="D268" s="2" t="s">
        <v>8</v>
      </c>
      <c r="E268" s="2">
        <f>0.46-0.208</f>
        <v>0.252</v>
      </c>
      <c r="F268" s="45">
        <v>450000</v>
      </c>
      <c r="G268" s="36" t="s">
        <v>293</v>
      </c>
      <c r="H268" s="6"/>
      <c r="I268" s="6"/>
      <c r="J268" s="6"/>
    </row>
    <row r="269" spans="1:10" s="4" customFormat="1" ht="12.75">
      <c r="A269" s="2" t="s">
        <v>2</v>
      </c>
      <c r="B269" s="20" t="s">
        <v>209</v>
      </c>
      <c r="C269" s="2">
        <v>60</v>
      </c>
      <c r="D269" s="2" t="s">
        <v>8</v>
      </c>
      <c r="E269" s="2">
        <f>0.023</f>
        <v>0.023</v>
      </c>
      <c r="F269" s="45">
        <v>490000</v>
      </c>
      <c r="G269" s="36"/>
      <c r="H269" s="6"/>
      <c r="I269" s="6"/>
      <c r="J269" s="6"/>
    </row>
    <row r="270" spans="1:10" s="4" customFormat="1" ht="12.75">
      <c r="A270" s="2" t="s">
        <v>2</v>
      </c>
      <c r="B270" s="22" t="s">
        <v>279</v>
      </c>
      <c r="C270" s="2">
        <v>60</v>
      </c>
      <c r="D270" s="2" t="s">
        <v>8</v>
      </c>
      <c r="E270" s="2">
        <v>0.168</v>
      </c>
      <c r="F270" s="45">
        <v>250000</v>
      </c>
      <c r="G270" s="36" t="s">
        <v>441</v>
      </c>
      <c r="H270" s="6"/>
      <c r="I270" s="6"/>
      <c r="J270" s="6"/>
    </row>
    <row r="271" spans="1:10" s="4" customFormat="1" ht="12.75">
      <c r="A271" s="2" t="s">
        <v>2</v>
      </c>
      <c r="B271" s="23" t="s">
        <v>181</v>
      </c>
      <c r="C271" s="2">
        <v>60</v>
      </c>
      <c r="D271" s="2" t="s">
        <v>8</v>
      </c>
      <c r="E271" s="2">
        <f>0.104-0.021</f>
        <v>0.08299999999999999</v>
      </c>
      <c r="F271" s="45">
        <v>430000</v>
      </c>
      <c r="G271" s="36" t="s">
        <v>464</v>
      </c>
      <c r="H271" s="6"/>
      <c r="I271" s="6"/>
      <c r="J271" s="6"/>
    </row>
    <row r="272" spans="1:10" s="4" customFormat="1" ht="12.75">
      <c r="A272" s="2" t="s">
        <v>2</v>
      </c>
      <c r="B272" s="20" t="s">
        <v>171</v>
      </c>
      <c r="C272" s="2">
        <v>60</v>
      </c>
      <c r="D272" s="2" t="s">
        <v>8</v>
      </c>
      <c r="E272" s="2">
        <v>0.32</v>
      </c>
      <c r="F272" s="45">
        <v>250000</v>
      </c>
      <c r="G272" s="6"/>
      <c r="H272" s="6"/>
      <c r="I272" s="6"/>
      <c r="J272" s="6"/>
    </row>
    <row r="273" spans="1:10" s="3" customFormat="1" ht="12.75">
      <c r="A273" s="2" t="s">
        <v>2</v>
      </c>
      <c r="B273" s="20" t="s">
        <v>148</v>
      </c>
      <c r="C273" s="2">
        <v>60</v>
      </c>
      <c r="D273" s="2" t="s">
        <v>8</v>
      </c>
      <c r="E273" s="25">
        <f>(51.8)/1000</f>
        <v>0.0518</v>
      </c>
      <c r="F273" s="45">
        <v>520000</v>
      </c>
      <c r="G273" s="36"/>
      <c r="H273" s="6"/>
      <c r="I273" s="6"/>
      <c r="J273" s="6"/>
    </row>
    <row r="274" spans="1:10" s="4" customFormat="1" ht="12.75">
      <c r="A274" s="2" t="s">
        <v>2</v>
      </c>
      <c r="B274" s="27" t="s">
        <v>203</v>
      </c>
      <c r="C274" s="2">
        <v>60</v>
      </c>
      <c r="D274" s="2" t="s">
        <v>8</v>
      </c>
      <c r="E274" s="25">
        <f>(155)/1000</f>
        <v>0.155</v>
      </c>
      <c r="F274" s="45">
        <v>1300000</v>
      </c>
      <c r="G274" s="36" t="s">
        <v>264</v>
      </c>
      <c r="H274" s="6"/>
      <c r="I274" s="6"/>
      <c r="J274" s="6"/>
    </row>
    <row r="275" spans="1:10" s="4" customFormat="1" ht="12.75">
      <c r="A275" s="2" t="s">
        <v>2</v>
      </c>
      <c r="B275" s="27" t="s">
        <v>372</v>
      </c>
      <c r="C275" s="2">
        <v>60</v>
      </c>
      <c r="D275" s="2" t="s">
        <v>8</v>
      </c>
      <c r="E275" s="2">
        <v>0.46</v>
      </c>
      <c r="F275" s="45">
        <v>470000</v>
      </c>
      <c r="G275" s="36" t="s">
        <v>458</v>
      </c>
      <c r="H275" s="6"/>
      <c r="I275" s="6"/>
      <c r="J275" s="6"/>
    </row>
    <row r="276" spans="1:10" s="4" customFormat="1" ht="12.75">
      <c r="A276" s="2" t="s">
        <v>2</v>
      </c>
      <c r="B276" s="20" t="s">
        <v>110</v>
      </c>
      <c r="C276" s="2">
        <v>60</v>
      </c>
      <c r="D276" s="2" t="s">
        <v>8</v>
      </c>
      <c r="E276" s="2">
        <f>0.42+0.125+0.053+0.063</f>
        <v>0.661</v>
      </c>
      <c r="F276" s="45">
        <v>603000</v>
      </c>
      <c r="G276" s="36" t="s">
        <v>368</v>
      </c>
      <c r="H276" s="6"/>
      <c r="I276" s="6"/>
      <c r="J276" s="6"/>
    </row>
    <row r="277" spans="1:10" s="4" customFormat="1" ht="12.75">
      <c r="A277" s="2" t="s">
        <v>2</v>
      </c>
      <c r="B277" s="20" t="s">
        <v>198</v>
      </c>
      <c r="C277" s="2">
        <v>60</v>
      </c>
      <c r="D277" s="2" t="s">
        <v>8</v>
      </c>
      <c r="E277" s="2">
        <f>(0.435-0.145)+1.066+0.18-0.035</f>
        <v>1.5010000000000001</v>
      </c>
      <c r="F277" s="45">
        <v>475000</v>
      </c>
      <c r="G277" s="36" t="s">
        <v>428</v>
      </c>
      <c r="H277" s="6"/>
      <c r="I277" s="6"/>
      <c r="J277" s="6"/>
    </row>
    <row r="278" spans="1:10" s="4" customFormat="1" ht="12.75">
      <c r="A278" s="2" t="s">
        <v>2</v>
      </c>
      <c r="B278" s="27" t="s">
        <v>200</v>
      </c>
      <c r="C278" s="2">
        <v>60</v>
      </c>
      <c r="D278" s="2" t="s">
        <v>8</v>
      </c>
      <c r="E278" s="2">
        <v>0.088</v>
      </c>
      <c r="F278" s="45">
        <v>950000</v>
      </c>
      <c r="G278" s="36" t="s">
        <v>330</v>
      </c>
      <c r="H278" s="6"/>
      <c r="I278" s="6"/>
      <c r="J278" s="6"/>
    </row>
    <row r="279" spans="1:10" s="4" customFormat="1" ht="12.75">
      <c r="A279" s="2" t="s">
        <v>2</v>
      </c>
      <c r="B279" s="27" t="s">
        <v>108</v>
      </c>
      <c r="C279" s="2">
        <v>62</v>
      </c>
      <c r="D279" s="2" t="s">
        <v>8</v>
      </c>
      <c r="E279" s="2">
        <f>0.056-0.023</f>
        <v>0.033</v>
      </c>
      <c r="F279" s="45">
        <v>540000</v>
      </c>
      <c r="G279" s="61" t="s">
        <v>344</v>
      </c>
      <c r="H279" s="6"/>
      <c r="I279" s="6"/>
      <c r="J279" s="6"/>
    </row>
    <row r="280" spans="1:10" s="4" customFormat="1" ht="12.75">
      <c r="A280" s="2" t="s">
        <v>2</v>
      </c>
      <c r="B280" s="27" t="s">
        <v>216</v>
      </c>
      <c r="C280" s="2">
        <v>65</v>
      </c>
      <c r="D280" s="2" t="s">
        <v>8</v>
      </c>
      <c r="E280" s="2">
        <f>0.43-0.1-0.027-0.082</f>
        <v>0.22099999999999992</v>
      </c>
      <c r="F280" s="45">
        <v>405000</v>
      </c>
      <c r="G280" s="36" t="s">
        <v>424</v>
      </c>
      <c r="H280" s="6"/>
      <c r="I280" s="46"/>
      <c r="J280" s="36"/>
    </row>
    <row r="281" spans="1:9" s="4" customFormat="1" ht="12.75">
      <c r="A281" s="65" t="s">
        <v>2</v>
      </c>
      <c r="B281" s="69" t="s">
        <v>216</v>
      </c>
      <c r="C281" s="65">
        <v>65</v>
      </c>
      <c r="D281" s="65" t="s">
        <v>8</v>
      </c>
      <c r="E281" s="80">
        <v>0.273</v>
      </c>
      <c r="F281" s="67">
        <v>405000</v>
      </c>
      <c r="G281" s="68" t="s">
        <v>424</v>
      </c>
      <c r="H281" s="94" t="s">
        <v>511</v>
      </c>
      <c r="I281" s="78">
        <v>43249</v>
      </c>
    </row>
    <row r="282" spans="1:10" s="4" customFormat="1" ht="12.75">
      <c r="A282" s="2" t="s">
        <v>2</v>
      </c>
      <c r="B282" s="27" t="s">
        <v>108</v>
      </c>
      <c r="C282" s="2">
        <v>65</v>
      </c>
      <c r="D282" s="2" t="s">
        <v>8</v>
      </c>
      <c r="E282" s="2">
        <f>0.548-0.198</f>
        <v>0.35000000000000003</v>
      </c>
      <c r="F282" s="45">
        <v>540000</v>
      </c>
      <c r="G282" s="36" t="s">
        <v>344</v>
      </c>
      <c r="H282" s="6"/>
      <c r="I282" s="6"/>
      <c r="J282" s="6"/>
    </row>
    <row r="283" spans="1:10" s="4" customFormat="1" ht="12.75">
      <c r="A283" s="2" t="s">
        <v>2</v>
      </c>
      <c r="B283" s="23" t="s">
        <v>181</v>
      </c>
      <c r="C283" s="2">
        <v>65</v>
      </c>
      <c r="D283" s="2" t="s">
        <v>8</v>
      </c>
      <c r="E283" s="25">
        <v>1.094</v>
      </c>
      <c r="F283" s="45">
        <v>350000</v>
      </c>
      <c r="G283" s="36" t="s">
        <v>542</v>
      </c>
      <c r="H283" s="6"/>
      <c r="I283" s="6"/>
      <c r="J283" s="6"/>
    </row>
    <row r="284" spans="1:10" s="4" customFormat="1" ht="12.75">
      <c r="A284" s="2" t="s">
        <v>2</v>
      </c>
      <c r="B284" s="20" t="s">
        <v>110</v>
      </c>
      <c r="C284" s="2">
        <v>65</v>
      </c>
      <c r="D284" s="2" t="s">
        <v>8</v>
      </c>
      <c r="E284" s="2">
        <f>0.131+0.088+0.047+0.057-0.127</f>
        <v>0.196</v>
      </c>
      <c r="F284" s="45">
        <v>540000</v>
      </c>
      <c r="G284" s="36" t="s">
        <v>144</v>
      </c>
      <c r="H284" s="6"/>
      <c r="I284" s="6"/>
      <c r="J284" s="6"/>
    </row>
    <row r="285" spans="1:10" s="4" customFormat="1" ht="12.75">
      <c r="A285" s="2" t="s">
        <v>2</v>
      </c>
      <c r="B285" s="23" t="s">
        <v>230</v>
      </c>
      <c r="C285" s="2">
        <v>65</v>
      </c>
      <c r="D285" s="2" t="s">
        <v>8</v>
      </c>
      <c r="E285" s="25">
        <f>(195+10.2)/1000</f>
        <v>0.2052</v>
      </c>
      <c r="F285" s="45">
        <v>850000</v>
      </c>
      <c r="G285" s="36" t="s">
        <v>481</v>
      </c>
      <c r="H285" s="6"/>
      <c r="I285" s="6"/>
      <c r="J285" s="6"/>
    </row>
    <row r="286" spans="1:10" s="4" customFormat="1" ht="12.75">
      <c r="A286" s="65" t="s">
        <v>2</v>
      </c>
      <c r="B286" s="69" t="s">
        <v>496</v>
      </c>
      <c r="C286" s="65">
        <v>70</v>
      </c>
      <c r="D286" s="65" t="s">
        <v>8</v>
      </c>
      <c r="E286" s="65">
        <v>0.4</v>
      </c>
      <c r="F286" s="67" t="s">
        <v>606</v>
      </c>
      <c r="G286" s="68" t="s">
        <v>546</v>
      </c>
      <c r="H286" s="6"/>
      <c r="I286" s="46"/>
      <c r="J286" s="36"/>
    </row>
    <row r="287" spans="1:10" s="4" customFormat="1" ht="12.75">
      <c r="A287" s="65" t="s">
        <v>2</v>
      </c>
      <c r="B287" s="69" t="s">
        <v>496</v>
      </c>
      <c r="C287" s="65">
        <v>70</v>
      </c>
      <c r="D287" s="65" t="s">
        <v>8</v>
      </c>
      <c r="E287" s="65">
        <f>0.61-0.03</f>
        <v>0.58</v>
      </c>
      <c r="F287" s="67">
        <v>630000</v>
      </c>
      <c r="G287" s="68" t="s">
        <v>546</v>
      </c>
      <c r="H287" s="6"/>
      <c r="I287" s="46"/>
      <c r="J287" s="36"/>
    </row>
    <row r="288" spans="1:10" s="4" customFormat="1" ht="12.75">
      <c r="A288" s="2" t="s">
        <v>2</v>
      </c>
      <c r="B288" s="27" t="s">
        <v>216</v>
      </c>
      <c r="C288" s="2">
        <v>70</v>
      </c>
      <c r="D288" s="2" t="s">
        <v>8</v>
      </c>
      <c r="E288" s="2">
        <v>0.448</v>
      </c>
      <c r="F288" s="45">
        <v>405000</v>
      </c>
      <c r="G288" s="36" t="s">
        <v>424</v>
      </c>
      <c r="H288" s="6"/>
      <c r="I288" s="46"/>
      <c r="J288" s="36"/>
    </row>
    <row r="289" spans="1:10" s="4" customFormat="1" ht="12.75">
      <c r="A289" s="2" t="s">
        <v>2</v>
      </c>
      <c r="B289" s="27" t="s">
        <v>215</v>
      </c>
      <c r="C289" s="2">
        <v>70</v>
      </c>
      <c r="D289" s="2" t="s">
        <v>8</v>
      </c>
      <c r="E289" s="2">
        <v>0.308</v>
      </c>
      <c r="F289" s="45">
        <v>620000</v>
      </c>
      <c r="G289" s="36" t="s">
        <v>396</v>
      </c>
      <c r="H289" s="6"/>
      <c r="I289" s="6"/>
      <c r="J289" s="6"/>
    </row>
    <row r="290" spans="1:10" s="4" customFormat="1" ht="12.75">
      <c r="A290" s="2" t="s">
        <v>2</v>
      </c>
      <c r="B290" s="27" t="s">
        <v>177</v>
      </c>
      <c r="C290" s="2">
        <v>70</v>
      </c>
      <c r="D290" s="2" t="s">
        <v>8</v>
      </c>
      <c r="E290" s="2">
        <f>0.094-0.006-0.007-0.021</f>
        <v>0.059999999999999984</v>
      </c>
      <c r="F290" s="45">
        <v>125000</v>
      </c>
      <c r="G290" s="36"/>
      <c r="H290" s="6"/>
      <c r="I290" s="6"/>
      <c r="J290" s="6"/>
    </row>
    <row r="291" spans="1:10" s="4" customFormat="1" ht="12.75">
      <c r="A291" s="2" t="s">
        <v>2</v>
      </c>
      <c r="B291" s="30" t="s">
        <v>88</v>
      </c>
      <c r="C291" s="2">
        <v>70</v>
      </c>
      <c r="D291" s="2" t="s">
        <v>8</v>
      </c>
      <c r="E291" s="2">
        <f>(111+83)/1000</f>
        <v>0.194</v>
      </c>
      <c r="F291" s="45">
        <v>1500000</v>
      </c>
      <c r="G291" s="36" t="s">
        <v>310</v>
      </c>
      <c r="H291" s="6"/>
      <c r="I291" s="6"/>
      <c r="J291" s="6"/>
    </row>
    <row r="292" spans="1:10" s="4" customFormat="1" ht="12.75">
      <c r="A292" s="2" t="s">
        <v>2</v>
      </c>
      <c r="B292" s="27" t="s">
        <v>108</v>
      </c>
      <c r="C292" s="2">
        <v>70</v>
      </c>
      <c r="D292" s="2" t="s">
        <v>8</v>
      </c>
      <c r="E292" s="2">
        <v>0.278</v>
      </c>
      <c r="F292" s="45">
        <v>540000</v>
      </c>
      <c r="G292" s="36" t="s">
        <v>344</v>
      </c>
      <c r="H292" s="70"/>
      <c r="I292" s="70"/>
      <c r="J292" s="70"/>
    </row>
    <row r="293" spans="1:10" s="4" customFormat="1" ht="12.75">
      <c r="A293" s="2" t="s">
        <v>2</v>
      </c>
      <c r="B293" s="20" t="s">
        <v>209</v>
      </c>
      <c r="C293" s="2">
        <v>70</v>
      </c>
      <c r="D293" s="2" t="s">
        <v>8</v>
      </c>
      <c r="E293" s="2">
        <f>0.06+0.098+0.168+0.048+0.076+0.087-0.164</f>
        <v>0.373</v>
      </c>
      <c r="F293" s="45">
        <v>490000</v>
      </c>
      <c r="G293" s="36"/>
      <c r="H293" s="6"/>
      <c r="I293" s="6"/>
      <c r="J293" s="6"/>
    </row>
    <row r="294" spans="1:10" s="4" customFormat="1" ht="12.75">
      <c r="A294" s="2" t="s">
        <v>2</v>
      </c>
      <c r="B294" s="22" t="s">
        <v>307</v>
      </c>
      <c r="C294" s="2">
        <v>70</v>
      </c>
      <c r="D294" s="2" t="s">
        <v>8</v>
      </c>
      <c r="E294" s="2">
        <v>1.176</v>
      </c>
      <c r="F294" s="45">
        <v>300000</v>
      </c>
      <c r="G294" s="36" t="s">
        <v>442</v>
      </c>
      <c r="H294" s="6"/>
      <c r="I294" s="6"/>
      <c r="J294" s="6"/>
    </row>
    <row r="295" spans="1:10" s="4" customFormat="1" ht="12.75">
      <c r="A295" s="2" t="s">
        <v>2</v>
      </c>
      <c r="B295" s="20" t="s">
        <v>171</v>
      </c>
      <c r="C295" s="2">
        <v>70</v>
      </c>
      <c r="D295" s="2" t="s">
        <v>8</v>
      </c>
      <c r="E295" s="25">
        <f>0.09+0.188-0.008-0.088-0.06</f>
        <v>0.12200000000000003</v>
      </c>
      <c r="F295" s="45">
        <v>250000</v>
      </c>
      <c r="G295" s="6"/>
      <c r="H295" s="6"/>
      <c r="I295" s="6"/>
      <c r="J295" s="6"/>
    </row>
    <row r="296" spans="1:10" s="4" customFormat="1" ht="12.75">
      <c r="A296" s="95" t="s">
        <v>2</v>
      </c>
      <c r="B296" s="96" t="s">
        <v>171</v>
      </c>
      <c r="C296" s="95">
        <v>70</v>
      </c>
      <c r="D296" s="95" t="s">
        <v>8</v>
      </c>
      <c r="E296" s="95">
        <v>0.318</v>
      </c>
      <c r="F296" s="97">
        <v>450000</v>
      </c>
      <c r="G296" s="98" t="s">
        <v>617</v>
      </c>
      <c r="H296" s="6"/>
      <c r="I296" s="6"/>
      <c r="J296" s="6"/>
    </row>
    <row r="297" spans="1:10" s="4" customFormat="1" ht="12.75">
      <c r="A297" s="2" t="s">
        <v>2</v>
      </c>
      <c r="B297" s="20" t="s">
        <v>148</v>
      </c>
      <c r="C297" s="2">
        <v>70</v>
      </c>
      <c r="D297" s="2" t="s">
        <v>8</v>
      </c>
      <c r="E297" s="25">
        <f>(20.7)/1000</f>
        <v>0.0207</v>
      </c>
      <c r="F297" s="45">
        <v>520000</v>
      </c>
      <c r="G297" s="36"/>
      <c r="H297" s="6"/>
      <c r="I297" s="46"/>
      <c r="J297" s="39"/>
    </row>
    <row r="298" spans="1:10" s="4" customFormat="1" ht="12.75">
      <c r="A298" s="2" t="s">
        <v>2</v>
      </c>
      <c r="B298" s="27" t="s">
        <v>204</v>
      </c>
      <c r="C298" s="2">
        <v>70</v>
      </c>
      <c r="D298" s="2" t="s">
        <v>8</v>
      </c>
      <c r="E298" s="25">
        <f>1-0.506-0.058+1.483+2.717-0.023-0.203-0.015-0.146-2.45-0.32</f>
        <v>1.4790000000000003</v>
      </c>
      <c r="F298" s="45">
        <v>1500000</v>
      </c>
      <c r="G298" s="36" t="s">
        <v>328</v>
      </c>
      <c r="H298" s="6"/>
      <c r="I298" s="6"/>
      <c r="J298" s="6"/>
    </row>
    <row r="299" spans="1:10" s="4" customFormat="1" ht="12.75">
      <c r="A299" s="2" t="s">
        <v>2</v>
      </c>
      <c r="B299" s="20" t="s">
        <v>201</v>
      </c>
      <c r="C299" s="2">
        <v>70</v>
      </c>
      <c r="D299" s="2" t="s">
        <v>8</v>
      </c>
      <c r="E299" s="2">
        <f>0.257-0.075</f>
        <v>0.182</v>
      </c>
      <c r="F299" s="45">
        <v>400000</v>
      </c>
      <c r="G299" s="36" t="s">
        <v>239</v>
      </c>
      <c r="H299" s="6"/>
      <c r="I299" s="6"/>
      <c r="J299" s="6"/>
    </row>
    <row r="300" spans="1:10" s="4" customFormat="1" ht="12.75">
      <c r="A300" s="2" t="s">
        <v>2</v>
      </c>
      <c r="B300" s="22" t="s">
        <v>168</v>
      </c>
      <c r="C300" s="2">
        <v>70</v>
      </c>
      <c r="D300" s="2" t="s">
        <v>8</v>
      </c>
      <c r="E300" s="2">
        <v>0.03</v>
      </c>
      <c r="F300" s="45">
        <v>470000</v>
      </c>
      <c r="G300" s="36" t="s">
        <v>169</v>
      </c>
      <c r="H300" s="6"/>
      <c r="I300" s="6"/>
      <c r="J300" s="6"/>
    </row>
    <row r="301" spans="1:10" s="4" customFormat="1" ht="12.75">
      <c r="A301" s="2" t="s">
        <v>2</v>
      </c>
      <c r="B301" s="20" t="s">
        <v>110</v>
      </c>
      <c r="C301" s="2">
        <v>70</v>
      </c>
      <c r="D301" s="2" t="s">
        <v>8</v>
      </c>
      <c r="E301" s="2">
        <f>0.096</f>
        <v>0.096</v>
      </c>
      <c r="F301" s="45">
        <v>540000</v>
      </c>
      <c r="G301" s="36" t="s">
        <v>144</v>
      </c>
      <c r="H301" s="6"/>
      <c r="I301" s="6"/>
      <c r="J301" s="6"/>
    </row>
    <row r="302" spans="1:10" s="4" customFormat="1" ht="12.75">
      <c r="A302" s="2" t="s">
        <v>2</v>
      </c>
      <c r="B302" s="27" t="s">
        <v>200</v>
      </c>
      <c r="C302" s="2">
        <v>70</v>
      </c>
      <c r="D302" s="2" t="s">
        <v>8</v>
      </c>
      <c r="E302" s="2">
        <f>0.019+0.0126+0.098</f>
        <v>0.1296</v>
      </c>
      <c r="F302" s="45">
        <v>950000</v>
      </c>
      <c r="G302" s="36" t="s">
        <v>330</v>
      </c>
      <c r="H302" s="6"/>
      <c r="I302" s="6"/>
      <c r="J302" s="6"/>
    </row>
    <row r="303" spans="1:10" s="4" customFormat="1" ht="12.75">
      <c r="A303" s="2" t="s">
        <v>2</v>
      </c>
      <c r="B303" s="20" t="s">
        <v>198</v>
      </c>
      <c r="C303" s="2">
        <v>70</v>
      </c>
      <c r="D303" s="2" t="s">
        <v>8</v>
      </c>
      <c r="E303" s="2">
        <f>0.625+0.043</f>
        <v>0.668</v>
      </c>
      <c r="F303" s="45">
        <v>475000</v>
      </c>
      <c r="G303" s="36" t="s">
        <v>382</v>
      </c>
      <c r="H303" s="6"/>
      <c r="I303" s="6"/>
      <c r="J303" s="6"/>
    </row>
    <row r="304" spans="1:10" s="4" customFormat="1" ht="12.75">
      <c r="A304" s="2" t="s">
        <v>2</v>
      </c>
      <c r="B304" s="23" t="s">
        <v>230</v>
      </c>
      <c r="C304" s="2">
        <v>70</v>
      </c>
      <c r="D304" s="2" t="s">
        <v>8</v>
      </c>
      <c r="E304" s="25">
        <v>0.0314</v>
      </c>
      <c r="F304" s="45">
        <v>850000</v>
      </c>
      <c r="G304" s="36" t="s">
        <v>481</v>
      </c>
      <c r="H304" s="6"/>
      <c r="I304" s="6"/>
      <c r="J304" s="6"/>
    </row>
    <row r="305" spans="1:10" s="4" customFormat="1" ht="12.75">
      <c r="A305" s="2" t="s">
        <v>2</v>
      </c>
      <c r="B305" s="27" t="s">
        <v>521</v>
      </c>
      <c r="C305" s="2">
        <v>70</v>
      </c>
      <c r="D305" s="2" t="s">
        <v>8</v>
      </c>
      <c r="E305" s="2">
        <v>0.466</v>
      </c>
      <c r="F305" s="45">
        <v>1350000</v>
      </c>
      <c r="G305" s="36" t="s">
        <v>533</v>
      </c>
      <c r="H305" s="6"/>
      <c r="I305" s="46"/>
      <c r="J305" s="36"/>
    </row>
    <row r="306" spans="1:10" ht="12.75">
      <c r="A306" s="65" t="s">
        <v>2</v>
      </c>
      <c r="B306" s="69" t="s">
        <v>496</v>
      </c>
      <c r="C306" s="65">
        <v>75</v>
      </c>
      <c r="D306" s="65" t="s">
        <v>8</v>
      </c>
      <c r="E306" s="65">
        <v>0.5</v>
      </c>
      <c r="F306" s="67" t="s">
        <v>606</v>
      </c>
      <c r="G306" s="68" t="s">
        <v>546</v>
      </c>
      <c r="H306" s="6"/>
      <c r="I306" s="46"/>
      <c r="J306" s="36"/>
    </row>
    <row r="307" spans="1:10" ht="12.75">
      <c r="A307" s="2" t="s">
        <v>2</v>
      </c>
      <c r="B307" s="30" t="s">
        <v>88</v>
      </c>
      <c r="C307" s="2">
        <v>75</v>
      </c>
      <c r="D307" s="2" t="s">
        <v>8</v>
      </c>
      <c r="E307" s="2">
        <v>0.173</v>
      </c>
      <c r="F307" s="45">
        <v>1500000</v>
      </c>
      <c r="G307" s="36" t="s">
        <v>310</v>
      </c>
      <c r="H307" s="6"/>
      <c r="I307" s="6"/>
      <c r="J307" s="6"/>
    </row>
    <row r="308" spans="1:10" ht="12.75">
      <c r="A308" s="2" t="s">
        <v>2</v>
      </c>
      <c r="B308" s="27" t="s">
        <v>212</v>
      </c>
      <c r="C308" s="2">
        <v>75</v>
      </c>
      <c r="D308" s="2" t="s">
        <v>8</v>
      </c>
      <c r="E308" s="25">
        <f>0.866-0.324-0.079-0.08-0.085</f>
        <v>0.298</v>
      </c>
      <c r="F308" s="45">
        <v>750000</v>
      </c>
      <c r="G308" s="36" t="s">
        <v>327</v>
      </c>
      <c r="H308" s="6"/>
      <c r="I308" s="6"/>
      <c r="J308" s="6"/>
    </row>
    <row r="309" spans="1:10" ht="12.75">
      <c r="A309" s="2" t="s">
        <v>2</v>
      </c>
      <c r="B309" s="23" t="s">
        <v>181</v>
      </c>
      <c r="C309" s="2">
        <v>75</v>
      </c>
      <c r="D309" s="2" t="s">
        <v>8</v>
      </c>
      <c r="E309" s="25">
        <v>0.212</v>
      </c>
      <c r="F309" s="45">
        <v>430000</v>
      </c>
      <c r="G309" s="36" t="s">
        <v>463</v>
      </c>
      <c r="H309" s="6"/>
      <c r="I309" s="6"/>
      <c r="J309" s="6"/>
    </row>
    <row r="310" spans="1:10" ht="12.75">
      <c r="A310" s="2" t="s">
        <v>2</v>
      </c>
      <c r="B310" s="20" t="s">
        <v>171</v>
      </c>
      <c r="C310" s="2">
        <v>75</v>
      </c>
      <c r="D310" s="2" t="s">
        <v>8</v>
      </c>
      <c r="E310" s="2">
        <v>0.046</v>
      </c>
      <c r="F310" s="45">
        <v>280000</v>
      </c>
      <c r="G310" s="36" t="s">
        <v>391</v>
      </c>
      <c r="H310" s="6"/>
      <c r="I310" s="6"/>
      <c r="J310" s="6"/>
    </row>
    <row r="311" spans="1:10" ht="12.75">
      <c r="A311" s="2" t="s">
        <v>2</v>
      </c>
      <c r="B311" s="27" t="s">
        <v>148</v>
      </c>
      <c r="C311" s="2">
        <v>75</v>
      </c>
      <c r="D311" s="2" t="s">
        <v>8</v>
      </c>
      <c r="E311" s="2">
        <f>0.08</f>
        <v>0.08</v>
      </c>
      <c r="F311" s="45">
        <v>450000</v>
      </c>
      <c r="G311" s="36" t="s">
        <v>323</v>
      </c>
      <c r="H311" s="6"/>
      <c r="I311" s="6"/>
      <c r="J311" s="6"/>
    </row>
    <row r="312" spans="1:10" ht="12.75">
      <c r="A312" s="2" t="s">
        <v>2</v>
      </c>
      <c r="B312" s="20" t="s">
        <v>110</v>
      </c>
      <c r="C312" s="2">
        <v>75</v>
      </c>
      <c r="D312" s="2" t="s">
        <v>8</v>
      </c>
      <c r="E312" s="2">
        <v>0.24</v>
      </c>
      <c r="F312" s="45">
        <v>540000</v>
      </c>
      <c r="G312" s="36" t="s">
        <v>298</v>
      </c>
      <c r="H312" s="6"/>
      <c r="I312" s="6"/>
      <c r="J312" s="6"/>
    </row>
    <row r="313" spans="1:10" ht="12.75">
      <c r="A313" s="65" t="s">
        <v>2</v>
      </c>
      <c r="B313" s="69" t="s">
        <v>199</v>
      </c>
      <c r="C313" s="65">
        <v>75</v>
      </c>
      <c r="D313" s="65" t="s">
        <v>8</v>
      </c>
      <c r="E313" s="65">
        <v>0.114</v>
      </c>
      <c r="F313" s="67" t="s">
        <v>602</v>
      </c>
      <c r="G313" s="68" t="s">
        <v>601</v>
      </c>
      <c r="H313" s="6"/>
      <c r="I313" s="6"/>
      <c r="J313" s="6"/>
    </row>
    <row r="314" spans="1:10" ht="12.75">
      <c r="A314" s="2" t="s">
        <v>2</v>
      </c>
      <c r="B314" s="23" t="s">
        <v>230</v>
      </c>
      <c r="C314" s="2">
        <v>75</v>
      </c>
      <c r="D314" s="2" t="s">
        <v>8</v>
      </c>
      <c r="E314" s="25">
        <f>0.034</f>
        <v>0.034</v>
      </c>
      <c r="F314" s="45">
        <v>850000</v>
      </c>
      <c r="G314" s="36" t="s">
        <v>360</v>
      </c>
      <c r="H314" s="6" t="s">
        <v>240</v>
      </c>
      <c r="I314" s="6"/>
      <c r="J314" s="6"/>
    </row>
    <row r="315" spans="1:10" ht="12.75">
      <c r="A315" s="2" t="s">
        <v>2</v>
      </c>
      <c r="B315" s="23" t="s">
        <v>81</v>
      </c>
      <c r="C315" s="2">
        <v>80</v>
      </c>
      <c r="D315" s="2" t="s">
        <v>8</v>
      </c>
      <c r="E315" s="2">
        <v>0.525</v>
      </c>
      <c r="F315" s="45">
        <v>265000</v>
      </c>
      <c r="G315" s="36" t="s">
        <v>397</v>
      </c>
      <c r="H315" s="5"/>
      <c r="I315" s="5"/>
      <c r="J315" s="5"/>
    </row>
    <row r="316" spans="1:10" ht="12.75">
      <c r="A316" s="65" t="s">
        <v>2</v>
      </c>
      <c r="B316" s="69" t="s">
        <v>496</v>
      </c>
      <c r="C316" s="65">
        <v>80</v>
      </c>
      <c r="D316" s="65" t="s">
        <v>8</v>
      </c>
      <c r="E316" s="65">
        <v>0.4</v>
      </c>
      <c r="F316" s="67" t="s">
        <v>606</v>
      </c>
      <c r="G316" s="68" t="s">
        <v>546</v>
      </c>
      <c r="H316" s="6"/>
      <c r="I316" s="46"/>
      <c r="J316" s="36"/>
    </row>
    <row r="317" spans="1:10" ht="12.75">
      <c r="A317" s="2" t="s">
        <v>2</v>
      </c>
      <c r="B317" s="27" t="s">
        <v>216</v>
      </c>
      <c r="C317" s="2">
        <v>80</v>
      </c>
      <c r="D317" s="2" t="s">
        <v>8</v>
      </c>
      <c r="E317" s="25">
        <f>(380)/1000</f>
        <v>0.38</v>
      </c>
      <c r="F317" s="45">
        <v>405000</v>
      </c>
      <c r="G317" s="36" t="s">
        <v>579</v>
      </c>
      <c r="H317" s="6"/>
      <c r="I317" s="6"/>
      <c r="J317" s="6"/>
    </row>
    <row r="318" spans="1:10" ht="12.75">
      <c r="A318" s="2" t="s">
        <v>2</v>
      </c>
      <c r="B318" s="27" t="s">
        <v>215</v>
      </c>
      <c r="C318" s="2">
        <v>80</v>
      </c>
      <c r="D318" s="2" t="s">
        <v>8</v>
      </c>
      <c r="E318" s="2">
        <f>0.22-0.112+0.426-0.132-0.016</f>
        <v>0.386</v>
      </c>
      <c r="F318" s="45">
        <v>510000</v>
      </c>
      <c r="G318" s="36"/>
      <c r="H318" s="6"/>
      <c r="I318" s="6"/>
      <c r="J318" s="6"/>
    </row>
    <row r="319" spans="1:10" ht="12.75">
      <c r="A319" s="2" t="s">
        <v>2</v>
      </c>
      <c r="B319" s="27" t="s">
        <v>213</v>
      </c>
      <c r="C319" s="2">
        <v>80</v>
      </c>
      <c r="D319" s="2" t="s">
        <v>8</v>
      </c>
      <c r="E319" s="25">
        <f>2*0.055</f>
        <v>0.11</v>
      </c>
      <c r="F319" s="45">
        <v>750000</v>
      </c>
      <c r="G319" s="36" t="s">
        <v>283</v>
      </c>
      <c r="H319" s="6"/>
      <c r="I319" s="6"/>
      <c r="J319" s="6"/>
    </row>
    <row r="320" spans="1:10" ht="12.75">
      <c r="A320" s="2" t="s">
        <v>2</v>
      </c>
      <c r="B320" s="27" t="s">
        <v>210</v>
      </c>
      <c r="C320" s="2">
        <v>80</v>
      </c>
      <c r="D320" s="2" t="s">
        <v>8</v>
      </c>
      <c r="E320" s="2">
        <v>0.155</v>
      </c>
      <c r="F320" s="45">
        <v>390000</v>
      </c>
      <c r="G320" s="36" t="s">
        <v>363</v>
      </c>
      <c r="H320" s="37"/>
      <c r="I320" s="37"/>
      <c r="J320" s="6"/>
    </row>
    <row r="321" spans="1:10" ht="12.75">
      <c r="A321" s="2" t="s">
        <v>2</v>
      </c>
      <c r="B321" s="20" t="s">
        <v>209</v>
      </c>
      <c r="C321" s="2">
        <v>80</v>
      </c>
      <c r="D321" s="2" t="s">
        <v>8</v>
      </c>
      <c r="E321" s="2">
        <f>0.06+0.119-0.026</f>
        <v>0.153</v>
      </c>
      <c r="F321" s="45">
        <v>490000</v>
      </c>
      <c r="G321" s="36" t="s">
        <v>326</v>
      </c>
      <c r="H321" s="6"/>
      <c r="I321" s="6"/>
      <c r="J321" s="6"/>
    </row>
    <row r="322" spans="1:10" ht="12.75">
      <c r="A322" s="2" t="s">
        <v>2</v>
      </c>
      <c r="B322" s="22" t="s">
        <v>279</v>
      </c>
      <c r="C322" s="2">
        <v>80</v>
      </c>
      <c r="D322" s="2" t="s">
        <v>8</v>
      </c>
      <c r="E322" s="2">
        <v>0.046</v>
      </c>
      <c r="F322" s="45">
        <v>250000</v>
      </c>
      <c r="G322" s="36" t="s">
        <v>442</v>
      </c>
      <c r="H322" s="6"/>
      <c r="I322" s="6"/>
      <c r="J322" s="6"/>
    </row>
    <row r="323" spans="1:10" ht="12.75">
      <c r="A323" s="2" t="s">
        <v>2</v>
      </c>
      <c r="B323" s="20" t="s">
        <v>171</v>
      </c>
      <c r="C323" s="2">
        <v>80</v>
      </c>
      <c r="D323" s="2" t="s">
        <v>8</v>
      </c>
      <c r="E323" s="2">
        <f>0.146+0.136+0.188</f>
        <v>0.47000000000000003</v>
      </c>
      <c r="F323" s="45">
        <v>250000</v>
      </c>
      <c r="G323" s="36" t="s">
        <v>391</v>
      </c>
      <c r="H323" s="6"/>
      <c r="I323" s="6"/>
      <c r="J323" s="6"/>
    </row>
    <row r="324" spans="1:10" ht="12.75">
      <c r="A324" s="2" t="s">
        <v>2</v>
      </c>
      <c r="B324" s="23" t="s">
        <v>78</v>
      </c>
      <c r="C324" s="2">
        <v>80</v>
      </c>
      <c r="D324" s="2" t="s">
        <v>8</v>
      </c>
      <c r="E324" s="31">
        <f>(14.2)/1000</f>
        <v>0.014199999999999999</v>
      </c>
      <c r="F324" s="45">
        <v>2000000</v>
      </c>
      <c r="G324" s="36" t="s">
        <v>588</v>
      </c>
      <c r="H324" s="37"/>
      <c r="I324" s="37"/>
      <c r="J324" s="37"/>
    </row>
    <row r="325" spans="1:10" ht="12.75">
      <c r="A325" s="2" t="s">
        <v>2</v>
      </c>
      <c r="B325" s="27" t="s">
        <v>204</v>
      </c>
      <c r="C325" s="2">
        <v>80</v>
      </c>
      <c r="D325" s="2" t="s">
        <v>8</v>
      </c>
      <c r="E325" s="25">
        <f>0.346-0.118-0.06-0.045</f>
        <v>0.12299999999999998</v>
      </c>
      <c r="F325" s="45">
        <v>1500000</v>
      </c>
      <c r="G325" s="36" t="s">
        <v>264</v>
      </c>
      <c r="H325" s="6"/>
      <c r="I325" s="6"/>
      <c r="J325" s="6"/>
    </row>
    <row r="326" spans="1:10" ht="12.75">
      <c r="A326" s="2" t="s">
        <v>2</v>
      </c>
      <c r="B326" s="20" t="s">
        <v>110</v>
      </c>
      <c r="C326" s="2">
        <v>80</v>
      </c>
      <c r="D326" s="2" t="s">
        <v>8</v>
      </c>
      <c r="E326" s="25">
        <f>0.001*(196.6+110.8+42+54)</f>
        <v>0.4034</v>
      </c>
      <c r="F326" s="45">
        <v>540000</v>
      </c>
      <c r="G326" s="36" t="s">
        <v>144</v>
      </c>
      <c r="H326" s="6"/>
      <c r="I326" s="6"/>
      <c r="J326" s="6"/>
    </row>
    <row r="327" spans="1:10" ht="12.75">
      <c r="A327" s="2" t="s">
        <v>2</v>
      </c>
      <c r="B327" s="27" t="s">
        <v>200</v>
      </c>
      <c r="C327" s="2">
        <v>80</v>
      </c>
      <c r="D327" s="2" t="s">
        <v>8</v>
      </c>
      <c r="E327" s="2">
        <f>0.08-0.021+0.238</f>
        <v>0.297</v>
      </c>
      <c r="F327" s="45">
        <v>950000</v>
      </c>
      <c r="G327" s="36" t="s">
        <v>361</v>
      </c>
      <c r="H327" s="5"/>
      <c r="I327" s="5"/>
      <c r="J327" s="5"/>
    </row>
    <row r="328" spans="1:10" ht="12.75">
      <c r="A328" s="2" t="s">
        <v>2</v>
      </c>
      <c r="B328" s="20" t="s">
        <v>198</v>
      </c>
      <c r="C328" s="2">
        <v>80</v>
      </c>
      <c r="D328" s="2" t="s">
        <v>8</v>
      </c>
      <c r="E328" s="2">
        <f>0.29+0.118</f>
        <v>0.408</v>
      </c>
      <c r="F328" s="45">
        <v>475000</v>
      </c>
      <c r="G328" s="36" t="s">
        <v>389</v>
      </c>
      <c r="H328" s="6"/>
      <c r="I328" s="6"/>
      <c r="J328" s="6"/>
    </row>
    <row r="329" spans="1:10" ht="12.75">
      <c r="A329" s="2" t="s">
        <v>2</v>
      </c>
      <c r="B329" s="23" t="s">
        <v>230</v>
      </c>
      <c r="C329" s="2">
        <v>80</v>
      </c>
      <c r="D329" s="2" t="s">
        <v>8</v>
      </c>
      <c r="E329" s="25">
        <f>0.062+0.11</f>
        <v>0.172</v>
      </c>
      <c r="F329" s="45">
        <v>850000</v>
      </c>
      <c r="G329" s="36" t="s">
        <v>360</v>
      </c>
      <c r="H329" s="6" t="s">
        <v>170</v>
      </c>
      <c r="I329" s="6"/>
      <c r="J329" s="6"/>
    </row>
    <row r="330" spans="1:10" ht="12.75">
      <c r="A330" s="2" t="s">
        <v>2</v>
      </c>
      <c r="B330" s="27" t="s">
        <v>213</v>
      </c>
      <c r="C330" s="2">
        <v>85</v>
      </c>
      <c r="D330" s="2" t="s">
        <v>8</v>
      </c>
      <c r="E330" s="25">
        <v>0.046</v>
      </c>
      <c r="F330" s="45">
        <v>750000</v>
      </c>
      <c r="G330" s="36" t="s">
        <v>283</v>
      </c>
      <c r="H330" s="6"/>
      <c r="I330" s="6"/>
      <c r="J330" s="6"/>
    </row>
    <row r="331" spans="1:10" ht="12.75">
      <c r="A331" s="2" t="s">
        <v>2</v>
      </c>
      <c r="B331" s="27" t="s">
        <v>108</v>
      </c>
      <c r="C331" s="2">
        <v>85</v>
      </c>
      <c r="D331" s="2" t="s">
        <v>8</v>
      </c>
      <c r="E331" s="25">
        <v>0.212</v>
      </c>
      <c r="F331" s="45">
        <v>690000</v>
      </c>
      <c r="G331" s="36" t="s">
        <v>569</v>
      </c>
      <c r="H331" s="6"/>
      <c r="I331" s="6"/>
      <c r="J331" s="6"/>
    </row>
    <row r="332" spans="1:10" ht="12.75">
      <c r="A332" s="2" t="s">
        <v>2</v>
      </c>
      <c r="B332" s="20" t="s">
        <v>209</v>
      </c>
      <c r="C332" s="2">
        <v>85</v>
      </c>
      <c r="D332" s="2" t="s">
        <v>8</v>
      </c>
      <c r="E332" s="2">
        <f>0.139+0.37</f>
        <v>0.509</v>
      </c>
      <c r="F332" s="45">
        <v>490000</v>
      </c>
      <c r="G332" s="36" t="s">
        <v>329</v>
      </c>
      <c r="H332" s="6"/>
      <c r="I332" s="6"/>
      <c r="J332" s="6"/>
    </row>
    <row r="333" spans="1:10" ht="12.75">
      <c r="A333" s="95" t="s">
        <v>2</v>
      </c>
      <c r="B333" s="96" t="s">
        <v>171</v>
      </c>
      <c r="C333" s="95">
        <v>85</v>
      </c>
      <c r="D333" s="95" t="s">
        <v>8</v>
      </c>
      <c r="E333" s="95">
        <f>0.318-0.088</f>
        <v>0.23</v>
      </c>
      <c r="F333" s="97">
        <v>450000</v>
      </c>
      <c r="G333" s="98" t="s">
        <v>617</v>
      </c>
      <c r="H333" s="6"/>
      <c r="I333" s="6"/>
      <c r="J333" s="6"/>
    </row>
    <row r="334" spans="1:10" ht="12.75">
      <c r="A334" s="2" t="s">
        <v>2</v>
      </c>
      <c r="B334" s="23" t="s">
        <v>230</v>
      </c>
      <c r="C334" s="2">
        <v>85</v>
      </c>
      <c r="D334" s="2" t="s">
        <v>8</v>
      </c>
      <c r="E334" s="25">
        <v>0.069</v>
      </c>
      <c r="F334" s="45">
        <v>850000</v>
      </c>
      <c r="G334" s="36" t="s">
        <v>360</v>
      </c>
      <c r="H334" s="6" t="s">
        <v>170</v>
      </c>
      <c r="I334" s="6"/>
      <c r="J334" s="6"/>
    </row>
    <row r="335" spans="1:10" ht="12.75">
      <c r="A335" s="2" t="s">
        <v>2</v>
      </c>
      <c r="B335" s="23" t="s">
        <v>81</v>
      </c>
      <c r="C335" s="2">
        <v>90</v>
      </c>
      <c r="D335" s="2" t="s">
        <v>8</v>
      </c>
      <c r="E335" s="2">
        <v>1.027</v>
      </c>
      <c r="F335" s="45">
        <v>245000</v>
      </c>
      <c r="G335" s="36"/>
      <c r="H335" s="6"/>
      <c r="I335" s="6"/>
      <c r="J335" s="6"/>
    </row>
    <row r="336" spans="1:10" ht="12.75">
      <c r="A336" s="65" t="s">
        <v>2</v>
      </c>
      <c r="B336" s="69" t="s">
        <v>496</v>
      </c>
      <c r="C336" s="65">
        <v>90</v>
      </c>
      <c r="D336" s="65" t="s">
        <v>8</v>
      </c>
      <c r="E336" s="65">
        <v>0.4</v>
      </c>
      <c r="F336" s="67" t="s">
        <v>606</v>
      </c>
      <c r="G336" s="68" t="s">
        <v>546</v>
      </c>
      <c r="H336" s="6"/>
      <c r="I336" s="46"/>
      <c r="J336" s="36"/>
    </row>
    <row r="337" spans="1:10" ht="12.75">
      <c r="A337" s="65" t="s">
        <v>2</v>
      </c>
      <c r="B337" s="69" t="s">
        <v>216</v>
      </c>
      <c r="C337" s="65">
        <v>90</v>
      </c>
      <c r="D337" s="65" t="s">
        <v>8</v>
      </c>
      <c r="E337" s="65">
        <v>0.474</v>
      </c>
      <c r="F337" s="67" t="s">
        <v>611</v>
      </c>
      <c r="G337" s="68" t="s">
        <v>424</v>
      </c>
      <c r="H337" s="6"/>
      <c r="I337" s="46"/>
      <c r="J337" s="36"/>
    </row>
    <row r="338" spans="1:10" ht="12.75">
      <c r="A338" s="2" t="s">
        <v>2</v>
      </c>
      <c r="B338" s="21" t="s">
        <v>97</v>
      </c>
      <c r="C338" s="2">
        <v>90</v>
      </c>
      <c r="D338" s="2" t="s">
        <v>8</v>
      </c>
      <c r="E338" s="2">
        <f>0.8-0.417+0.417-0.092-0.075</f>
        <v>0.6330000000000001</v>
      </c>
      <c r="F338" s="45">
        <v>340000</v>
      </c>
      <c r="G338" s="36" t="s">
        <v>325</v>
      </c>
      <c r="H338" s="6"/>
      <c r="I338" s="6"/>
      <c r="J338" s="6"/>
    </row>
    <row r="339" spans="1:10" ht="12.75">
      <c r="A339" s="2" t="s">
        <v>2</v>
      </c>
      <c r="B339" s="27" t="s">
        <v>210</v>
      </c>
      <c r="C339" s="2">
        <v>90</v>
      </c>
      <c r="D339" s="2" t="s">
        <v>8</v>
      </c>
      <c r="E339" s="2">
        <v>0.043</v>
      </c>
      <c r="F339" s="45">
        <v>195000</v>
      </c>
      <c r="G339" s="36" t="s">
        <v>391</v>
      </c>
      <c r="H339" s="37" t="s">
        <v>170</v>
      </c>
      <c r="I339" s="38">
        <v>42875</v>
      </c>
      <c r="J339" s="39">
        <v>1.02</v>
      </c>
    </row>
    <row r="340" spans="1:10" ht="12.75">
      <c r="A340" s="2" t="s">
        <v>2</v>
      </c>
      <c r="B340" s="27" t="s">
        <v>108</v>
      </c>
      <c r="C340" s="2">
        <v>90</v>
      </c>
      <c r="D340" s="2" t="s">
        <v>8</v>
      </c>
      <c r="E340" s="2">
        <f>0.426-0.026</f>
        <v>0.39999999999999997</v>
      </c>
      <c r="F340" s="45">
        <v>540000</v>
      </c>
      <c r="G340" s="36" t="s">
        <v>344</v>
      </c>
      <c r="H340" s="6"/>
      <c r="I340" s="6"/>
      <c r="J340" s="6"/>
    </row>
    <row r="341" spans="1:10" ht="12.75">
      <c r="A341" s="2" t="s">
        <v>2</v>
      </c>
      <c r="B341" s="20" t="s">
        <v>209</v>
      </c>
      <c r="C341" s="2">
        <v>90</v>
      </c>
      <c r="D341" s="2" t="s">
        <v>8</v>
      </c>
      <c r="E341" s="25">
        <f>(68.2)/1000</f>
        <v>0.0682</v>
      </c>
      <c r="F341" s="45">
        <v>490000</v>
      </c>
      <c r="G341" s="36" t="s">
        <v>553</v>
      </c>
      <c r="H341" s="6"/>
      <c r="I341" s="6"/>
      <c r="J341" s="6"/>
    </row>
    <row r="342" spans="1:10" ht="12.75">
      <c r="A342" s="2" t="s">
        <v>2</v>
      </c>
      <c r="B342" s="20" t="s">
        <v>100</v>
      </c>
      <c r="C342" s="2">
        <v>90</v>
      </c>
      <c r="D342" s="2" t="s">
        <v>8</v>
      </c>
      <c r="E342" s="2">
        <f>0.0845-0.0065-0.026</f>
        <v>0.052000000000000005</v>
      </c>
      <c r="F342" s="45">
        <v>530000</v>
      </c>
      <c r="G342" s="36" t="s">
        <v>99</v>
      </c>
      <c r="H342" s="6"/>
      <c r="I342" s="6"/>
      <c r="J342" s="6"/>
    </row>
    <row r="343" spans="1:10" ht="12.75">
      <c r="A343" s="2" t="s">
        <v>2</v>
      </c>
      <c r="B343" s="27" t="s">
        <v>203</v>
      </c>
      <c r="C343" s="2">
        <v>90</v>
      </c>
      <c r="D343" s="2" t="s">
        <v>8</v>
      </c>
      <c r="E343" s="25">
        <v>0.38</v>
      </c>
      <c r="F343" s="45">
        <v>1300000</v>
      </c>
      <c r="G343" s="36" t="s">
        <v>264</v>
      </c>
      <c r="H343" s="6"/>
      <c r="I343" s="6"/>
      <c r="J343" s="6"/>
    </row>
    <row r="344" spans="1:10" ht="12.75">
      <c r="A344" s="2" t="s">
        <v>2</v>
      </c>
      <c r="B344" s="20" t="s">
        <v>110</v>
      </c>
      <c r="C344" s="2">
        <v>90</v>
      </c>
      <c r="D344" s="2" t="s">
        <v>8</v>
      </c>
      <c r="E344" s="2">
        <f>0.145+0.123+0.325</f>
        <v>0.593</v>
      </c>
      <c r="F344" s="45">
        <v>540000</v>
      </c>
      <c r="G344" s="36" t="s">
        <v>144</v>
      </c>
      <c r="H344" s="6"/>
      <c r="I344" s="6"/>
      <c r="J344" s="6"/>
    </row>
    <row r="345" spans="1:10" ht="12.75">
      <c r="A345" s="2" t="s">
        <v>2</v>
      </c>
      <c r="B345" s="20" t="s">
        <v>198</v>
      </c>
      <c r="C345" s="2">
        <v>90</v>
      </c>
      <c r="D345" s="2" t="s">
        <v>8</v>
      </c>
      <c r="E345" s="2">
        <v>0.6</v>
      </c>
      <c r="F345" s="45">
        <v>475000</v>
      </c>
      <c r="G345" s="36" t="s">
        <v>382</v>
      </c>
      <c r="H345" s="6"/>
      <c r="I345" s="6"/>
      <c r="J345" s="6"/>
    </row>
    <row r="346" spans="1:10" ht="12.75">
      <c r="A346" s="2" t="s">
        <v>2</v>
      </c>
      <c r="B346" s="27" t="s">
        <v>521</v>
      </c>
      <c r="C346" s="2">
        <v>90</v>
      </c>
      <c r="D346" s="2" t="s">
        <v>8</v>
      </c>
      <c r="E346" s="2">
        <v>0.588</v>
      </c>
      <c r="F346" s="45">
        <v>1350000</v>
      </c>
      <c r="G346" s="36" t="s">
        <v>534</v>
      </c>
      <c r="H346" s="6"/>
      <c r="I346" s="46"/>
      <c r="J346" s="36"/>
    </row>
    <row r="347" spans="1:10" ht="12.75">
      <c r="A347" s="2" t="s">
        <v>2</v>
      </c>
      <c r="B347" s="27" t="s">
        <v>200</v>
      </c>
      <c r="C347" s="2">
        <v>90</v>
      </c>
      <c r="D347" s="2" t="s">
        <v>8</v>
      </c>
      <c r="E347" s="2">
        <v>0.3</v>
      </c>
      <c r="F347" s="45">
        <v>950000</v>
      </c>
      <c r="G347" s="36" t="s">
        <v>358</v>
      </c>
      <c r="H347" s="6"/>
      <c r="I347" s="6"/>
      <c r="J347" s="6"/>
    </row>
    <row r="348" spans="1:10" ht="12.75">
      <c r="A348" s="2" t="s">
        <v>2</v>
      </c>
      <c r="B348" s="20" t="s">
        <v>209</v>
      </c>
      <c r="C348" s="2">
        <v>95</v>
      </c>
      <c r="D348" s="2" t="s">
        <v>8</v>
      </c>
      <c r="E348" s="2">
        <f>(218-10)/1000</f>
        <v>0.208</v>
      </c>
      <c r="F348" s="45">
        <v>490000</v>
      </c>
      <c r="G348" s="36" t="s">
        <v>553</v>
      </c>
      <c r="H348" s="6"/>
      <c r="I348" s="6"/>
      <c r="J348" s="6"/>
    </row>
    <row r="349" spans="1:10" ht="12.75">
      <c r="A349" s="2" t="s">
        <v>2</v>
      </c>
      <c r="B349" s="20" t="s">
        <v>100</v>
      </c>
      <c r="C349" s="2">
        <v>95</v>
      </c>
      <c r="D349" s="2" t="s">
        <v>8</v>
      </c>
      <c r="E349" s="2">
        <f>0.057</f>
        <v>0.057</v>
      </c>
      <c r="F349" s="45">
        <v>530000</v>
      </c>
      <c r="G349" s="36" t="s">
        <v>99</v>
      </c>
      <c r="H349" s="6"/>
      <c r="I349" s="6"/>
      <c r="J349" s="6"/>
    </row>
    <row r="350" spans="1:10" ht="12.75">
      <c r="A350" s="2" t="s">
        <v>2</v>
      </c>
      <c r="B350" s="20" t="s">
        <v>201</v>
      </c>
      <c r="C350" s="2">
        <v>95</v>
      </c>
      <c r="D350" s="2" t="s">
        <v>8</v>
      </c>
      <c r="E350" s="2">
        <v>0.503</v>
      </c>
      <c r="F350" s="45">
        <v>400000</v>
      </c>
      <c r="G350" s="36" t="s">
        <v>222</v>
      </c>
      <c r="H350" s="6"/>
      <c r="I350" s="6"/>
      <c r="J350" s="6"/>
    </row>
    <row r="351" spans="1:10" ht="12.75">
      <c r="A351" s="2" t="s">
        <v>2</v>
      </c>
      <c r="B351" s="27" t="s">
        <v>200</v>
      </c>
      <c r="C351" s="2">
        <v>95</v>
      </c>
      <c r="D351" s="2" t="s">
        <v>8</v>
      </c>
      <c r="E351" s="2">
        <v>0.13</v>
      </c>
      <c r="F351" s="45">
        <v>950000</v>
      </c>
      <c r="G351" s="36" t="s">
        <v>358</v>
      </c>
      <c r="H351" s="6"/>
      <c r="I351" s="6"/>
      <c r="J351" s="6"/>
    </row>
    <row r="352" spans="1:10" ht="12.75">
      <c r="A352" s="2" t="s">
        <v>2</v>
      </c>
      <c r="B352" s="27" t="s">
        <v>216</v>
      </c>
      <c r="C352" s="2">
        <v>100</v>
      </c>
      <c r="D352" s="2" t="s">
        <v>8</v>
      </c>
      <c r="E352" s="2">
        <f>1.434-0.064-0.022-0.032-0.106-0.078-0.032-0.128-0.037-0.144-0.3</f>
        <v>0.4909999999999996</v>
      </c>
      <c r="F352" s="45">
        <v>390000</v>
      </c>
      <c r="G352" s="36" t="s">
        <v>427</v>
      </c>
      <c r="H352" s="6"/>
      <c r="I352" s="6"/>
      <c r="J352" s="6"/>
    </row>
    <row r="353" spans="1:10" ht="12.75">
      <c r="A353" s="2" t="s">
        <v>2</v>
      </c>
      <c r="B353" s="27" t="s">
        <v>215</v>
      </c>
      <c r="C353" s="2">
        <v>100</v>
      </c>
      <c r="D353" s="2" t="s">
        <v>8</v>
      </c>
      <c r="E353" s="2">
        <v>0.094</v>
      </c>
      <c r="F353" s="45">
        <v>510000</v>
      </c>
      <c r="G353" s="6"/>
      <c r="H353" s="6"/>
      <c r="I353" s="6"/>
      <c r="J353" s="6"/>
    </row>
    <row r="354" spans="1:10" ht="12.75">
      <c r="A354" s="2" t="s">
        <v>2</v>
      </c>
      <c r="B354" s="22" t="s">
        <v>211</v>
      </c>
      <c r="C354" s="2">
        <v>100</v>
      </c>
      <c r="D354" s="2" t="s">
        <v>8</v>
      </c>
      <c r="E354" s="25">
        <v>0.0557</v>
      </c>
      <c r="F354" s="45">
        <v>420000</v>
      </c>
      <c r="G354" s="36" t="s">
        <v>378</v>
      </c>
      <c r="H354" s="6"/>
      <c r="I354" s="6"/>
      <c r="J354" s="6"/>
    </row>
    <row r="355" spans="1:10" ht="12.75">
      <c r="A355" s="2" t="s">
        <v>2</v>
      </c>
      <c r="B355" s="27" t="s">
        <v>210</v>
      </c>
      <c r="C355" s="2">
        <v>100</v>
      </c>
      <c r="D355" s="2" t="s">
        <v>8</v>
      </c>
      <c r="E355" s="2">
        <f>0.172+0.098+0.178-0.07</f>
        <v>0.378</v>
      </c>
      <c r="F355" s="45">
        <v>190000</v>
      </c>
      <c r="G355" s="5"/>
      <c r="H355" s="6"/>
      <c r="I355" s="6"/>
      <c r="J355" s="6"/>
    </row>
    <row r="356" spans="1:10" ht="12.75">
      <c r="A356" s="2" t="s">
        <v>2</v>
      </c>
      <c r="B356" s="27" t="s">
        <v>108</v>
      </c>
      <c r="C356" s="2">
        <v>100</v>
      </c>
      <c r="D356" s="2" t="s">
        <v>8</v>
      </c>
      <c r="E356" s="2">
        <v>0.068</v>
      </c>
      <c r="F356" s="45">
        <v>600000</v>
      </c>
      <c r="G356" s="36" t="s">
        <v>344</v>
      </c>
      <c r="H356" s="6"/>
      <c r="I356" s="6"/>
      <c r="J356" s="6"/>
    </row>
    <row r="357" spans="1:10" ht="12.75">
      <c r="A357" s="2" t="s">
        <v>2</v>
      </c>
      <c r="B357" s="20" t="s">
        <v>100</v>
      </c>
      <c r="C357" s="2">
        <v>100</v>
      </c>
      <c r="D357" s="2" t="s">
        <v>8</v>
      </c>
      <c r="E357" s="2">
        <v>0.07</v>
      </c>
      <c r="F357" s="45">
        <v>530000</v>
      </c>
      <c r="G357" s="36" t="s">
        <v>99</v>
      </c>
      <c r="H357" s="6"/>
      <c r="I357" s="6"/>
      <c r="J357" s="6"/>
    </row>
    <row r="358" spans="1:10" ht="12.75">
      <c r="A358" s="2" t="s">
        <v>2</v>
      </c>
      <c r="B358" s="20" t="s">
        <v>171</v>
      </c>
      <c r="C358" s="2">
        <v>100</v>
      </c>
      <c r="D358" s="2" t="s">
        <v>8</v>
      </c>
      <c r="E358" s="2">
        <f>1.347-0.316</f>
        <v>1.031</v>
      </c>
      <c r="F358" s="45">
        <v>250000</v>
      </c>
      <c r="G358" s="36"/>
      <c r="H358" s="6"/>
      <c r="I358" s="6"/>
      <c r="J358" s="6"/>
    </row>
    <row r="359" spans="1:10" ht="12.75">
      <c r="A359" s="2" t="s">
        <v>2</v>
      </c>
      <c r="B359" s="27" t="s">
        <v>148</v>
      </c>
      <c r="C359" s="2">
        <v>100</v>
      </c>
      <c r="D359" s="2" t="s">
        <v>8</v>
      </c>
      <c r="E359" s="2">
        <f>0.033+0.32</f>
        <v>0.353</v>
      </c>
      <c r="F359" s="45">
        <v>450000</v>
      </c>
      <c r="G359" s="36" t="s">
        <v>323</v>
      </c>
      <c r="H359" s="5"/>
      <c r="I359" s="5"/>
      <c r="J359" s="5"/>
    </row>
    <row r="360" spans="1:10" ht="12.75">
      <c r="A360" s="2" t="s">
        <v>2</v>
      </c>
      <c r="B360" s="27" t="s">
        <v>204</v>
      </c>
      <c r="C360" s="2">
        <v>100</v>
      </c>
      <c r="D360" s="2" t="s">
        <v>8</v>
      </c>
      <c r="E360" s="25">
        <f>0.286+1.946-0.066-0.5</f>
        <v>1.666</v>
      </c>
      <c r="F360" s="45">
        <v>1400000</v>
      </c>
      <c r="G360" s="36" t="s">
        <v>324</v>
      </c>
      <c r="H360" s="6"/>
      <c r="I360" s="6"/>
      <c r="J360" s="6"/>
    </row>
    <row r="361" spans="1:10" ht="12.75">
      <c r="A361" s="2" t="s">
        <v>2</v>
      </c>
      <c r="B361" s="27" t="s">
        <v>199</v>
      </c>
      <c r="C361" s="2">
        <v>100</v>
      </c>
      <c r="D361" s="2" t="s">
        <v>8</v>
      </c>
      <c r="E361" s="2">
        <v>0.1105</v>
      </c>
      <c r="F361" s="45">
        <v>890000</v>
      </c>
      <c r="G361" s="36"/>
      <c r="H361" s="6"/>
      <c r="I361" s="6"/>
      <c r="J361" s="6"/>
    </row>
    <row r="362" spans="1:10" ht="12.75">
      <c r="A362" s="2" t="s">
        <v>2</v>
      </c>
      <c r="B362" s="20" t="s">
        <v>198</v>
      </c>
      <c r="C362" s="2">
        <v>100</v>
      </c>
      <c r="D362" s="2" t="s">
        <v>8</v>
      </c>
      <c r="E362" s="2">
        <f>0.355+0.648</f>
        <v>1.0030000000000001</v>
      </c>
      <c r="F362" s="45">
        <v>475000</v>
      </c>
      <c r="G362" s="36" t="s">
        <v>364</v>
      </c>
      <c r="H362" s="37"/>
      <c r="I362" s="37"/>
      <c r="J362" s="37"/>
    </row>
    <row r="363" spans="1:10" ht="12.75">
      <c r="A363" s="2" t="s">
        <v>2</v>
      </c>
      <c r="B363" s="22" t="s">
        <v>521</v>
      </c>
      <c r="C363" s="2">
        <v>100</v>
      </c>
      <c r="D363" s="2" t="s">
        <v>8</v>
      </c>
      <c r="E363" s="2">
        <f>0.173-0.039</f>
        <v>0.13399999999999998</v>
      </c>
      <c r="F363" s="45">
        <v>1350000</v>
      </c>
      <c r="H363" s="5"/>
      <c r="I363" s="5"/>
      <c r="J363" s="5"/>
    </row>
    <row r="364" spans="1:10" ht="12.75">
      <c r="A364" s="2" t="s">
        <v>2</v>
      </c>
      <c r="B364" s="23" t="s">
        <v>78</v>
      </c>
      <c r="C364" s="2">
        <v>105</v>
      </c>
      <c r="D364" s="2" t="s">
        <v>8</v>
      </c>
      <c r="E364" s="25">
        <v>0.009</v>
      </c>
      <c r="F364" s="45">
        <v>2000000</v>
      </c>
      <c r="G364" s="36" t="s">
        <v>596</v>
      </c>
      <c r="H364" s="37"/>
      <c r="I364" s="37"/>
      <c r="J364" s="37"/>
    </row>
    <row r="365" spans="1:10" ht="12.75">
      <c r="A365" s="2" t="s">
        <v>2</v>
      </c>
      <c r="B365" s="20" t="s">
        <v>110</v>
      </c>
      <c r="C365" s="2">
        <v>105</v>
      </c>
      <c r="D365" s="2" t="s">
        <v>8</v>
      </c>
      <c r="E365" s="2">
        <v>0.223</v>
      </c>
      <c r="F365" s="45">
        <v>540000</v>
      </c>
      <c r="G365" s="36"/>
      <c r="H365" s="6"/>
      <c r="I365" s="6"/>
      <c r="J365" s="6"/>
    </row>
    <row r="366" spans="1:10" ht="12.75">
      <c r="A366" s="2" t="s">
        <v>2</v>
      </c>
      <c r="B366" s="27" t="s">
        <v>431</v>
      </c>
      <c r="C366" s="2">
        <v>110</v>
      </c>
      <c r="D366" s="2" t="s">
        <v>8</v>
      </c>
      <c r="E366" s="25">
        <v>0.198</v>
      </c>
      <c r="F366" s="45">
        <v>400000</v>
      </c>
      <c r="G366" s="36" t="s">
        <v>429</v>
      </c>
      <c r="H366" s="6"/>
      <c r="I366" s="6"/>
      <c r="J366" s="6"/>
    </row>
    <row r="367" spans="1:10" ht="12.75">
      <c r="A367" s="2" t="s">
        <v>2</v>
      </c>
      <c r="B367" s="27" t="s">
        <v>216</v>
      </c>
      <c r="C367" s="2">
        <v>110</v>
      </c>
      <c r="D367" s="2" t="s">
        <v>8</v>
      </c>
      <c r="E367" s="2">
        <f>0.36+0.406-0.235</f>
        <v>0.531</v>
      </c>
      <c r="F367" s="45">
        <v>405000</v>
      </c>
      <c r="G367" s="36" t="s">
        <v>423</v>
      </c>
      <c r="H367" s="6"/>
      <c r="I367" s="46"/>
      <c r="J367" s="36"/>
    </row>
    <row r="368" spans="1:10" ht="12.75">
      <c r="A368" s="2" t="s">
        <v>2</v>
      </c>
      <c r="B368" s="27" t="s">
        <v>213</v>
      </c>
      <c r="C368" s="2">
        <v>110</v>
      </c>
      <c r="D368" s="2" t="s">
        <v>8</v>
      </c>
      <c r="E368" s="25">
        <f>3*0.112-0.02-0.02</f>
        <v>0.296</v>
      </c>
      <c r="F368" s="45">
        <v>750000</v>
      </c>
      <c r="G368" s="36" t="s">
        <v>283</v>
      </c>
      <c r="H368" s="6"/>
      <c r="I368" s="6"/>
      <c r="J368" s="6"/>
    </row>
    <row r="369" spans="1:10" ht="12.75">
      <c r="A369" s="2" t="s">
        <v>2</v>
      </c>
      <c r="B369" s="27" t="s">
        <v>108</v>
      </c>
      <c r="C369" s="2">
        <v>110</v>
      </c>
      <c r="D369" s="2" t="s">
        <v>8</v>
      </c>
      <c r="E369" s="2">
        <v>0.145</v>
      </c>
      <c r="F369" s="45">
        <v>600000</v>
      </c>
      <c r="G369" s="36" t="s">
        <v>344</v>
      </c>
      <c r="H369" s="5"/>
      <c r="I369" s="5"/>
      <c r="J369" s="5"/>
    </row>
    <row r="370" spans="1:10" ht="12.75">
      <c r="A370" s="2" t="s">
        <v>2</v>
      </c>
      <c r="B370" s="20" t="s">
        <v>171</v>
      </c>
      <c r="C370" s="2">
        <v>110</v>
      </c>
      <c r="D370" s="2" t="s">
        <v>8</v>
      </c>
      <c r="E370" s="2">
        <f>0.056+0.066-0.013</f>
        <v>0.109</v>
      </c>
      <c r="F370" s="45">
        <v>370000</v>
      </c>
      <c r="G370" s="36" t="s">
        <v>445</v>
      </c>
      <c r="H370" s="5"/>
      <c r="I370" s="5"/>
      <c r="J370" s="5"/>
    </row>
    <row r="371" spans="1:10" ht="12.75">
      <c r="A371" s="2" t="s">
        <v>2</v>
      </c>
      <c r="B371" s="23" t="s">
        <v>46</v>
      </c>
      <c r="C371" s="2">
        <v>110</v>
      </c>
      <c r="D371" s="2" t="s">
        <v>8</v>
      </c>
      <c r="E371" s="2">
        <f>0.351-0.015-0.023</f>
        <v>0.31299999999999994</v>
      </c>
      <c r="F371" s="45">
        <v>172000</v>
      </c>
      <c r="G371" s="36"/>
      <c r="H371" s="6"/>
      <c r="I371" s="6"/>
      <c r="J371" s="6"/>
    </row>
    <row r="372" spans="1:10" ht="12.75">
      <c r="A372" s="2" t="s">
        <v>2</v>
      </c>
      <c r="B372" s="27" t="s">
        <v>200</v>
      </c>
      <c r="C372" s="2">
        <v>110</v>
      </c>
      <c r="D372" s="2" t="s">
        <v>8</v>
      </c>
      <c r="E372" s="2">
        <f>0.261-0.081-0.054-0.06</f>
        <v>0.066</v>
      </c>
      <c r="F372" s="45">
        <v>1200000</v>
      </c>
      <c r="G372" s="36" t="s">
        <v>444</v>
      </c>
      <c r="H372" s="6"/>
      <c r="I372" s="6"/>
      <c r="J372" s="6"/>
    </row>
    <row r="373" spans="1:10" ht="12.75">
      <c r="A373" s="2" t="s">
        <v>2</v>
      </c>
      <c r="B373" s="20" t="s">
        <v>246</v>
      </c>
      <c r="C373" s="2">
        <v>110</v>
      </c>
      <c r="D373" s="2" t="s">
        <v>8</v>
      </c>
      <c r="E373" s="2">
        <f>0.302-0.113</f>
        <v>0.189</v>
      </c>
      <c r="F373" s="45">
        <v>425000</v>
      </c>
      <c r="G373" s="36" t="s">
        <v>443</v>
      </c>
      <c r="H373" s="6"/>
      <c r="I373" s="6"/>
      <c r="J373" s="6"/>
    </row>
    <row r="374" spans="1:10" ht="12.75">
      <c r="A374" s="2" t="s">
        <v>2</v>
      </c>
      <c r="B374" s="23" t="s">
        <v>230</v>
      </c>
      <c r="C374" s="2">
        <v>110</v>
      </c>
      <c r="D374" s="2" t="s">
        <v>8</v>
      </c>
      <c r="E374" s="2">
        <f>0.328-0.135</f>
        <v>0.193</v>
      </c>
      <c r="F374" s="45">
        <v>850000</v>
      </c>
      <c r="G374" s="36" t="s">
        <v>500</v>
      </c>
      <c r="H374" s="6"/>
      <c r="I374" s="6"/>
      <c r="J374" s="6"/>
    </row>
    <row r="375" spans="1:10" ht="12.75">
      <c r="A375" s="2" t="s">
        <v>2</v>
      </c>
      <c r="B375" s="20" t="s">
        <v>209</v>
      </c>
      <c r="C375" s="2">
        <v>115</v>
      </c>
      <c r="D375" s="2" t="s">
        <v>8</v>
      </c>
      <c r="E375" s="2">
        <v>0.41</v>
      </c>
      <c r="F375" s="45">
        <v>450000</v>
      </c>
      <c r="G375" s="36" t="s">
        <v>615</v>
      </c>
      <c r="H375" s="6" t="s">
        <v>280</v>
      </c>
      <c r="I375" s="46">
        <v>43019</v>
      </c>
      <c r="J375" s="39" t="s">
        <v>451</v>
      </c>
    </row>
    <row r="376" spans="1:10" ht="12.75">
      <c r="A376" s="2" t="s">
        <v>2</v>
      </c>
      <c r="B376" s="23" t="s">
        <v>81</v>
      </c>
      <c r="C376" s="2">
        <v>120</v>
      </c>
      <c r="D376" s="2" t="s">
        <v>8</v>
      </c>
      <c r="E376" s="2">
        <f>0.14</f>
        <v>0.14</v>
      </c>
      <c r="F376" s="45">
        <v>230000</v>
      </c>
      <c r="G376" s="36" t="s">
        <v>446</v>
      </c>
      <c r="H376" s="6"/>
      <c r="I376" s="6"/>
      <c r="J376" s="6"/>
    </row>
    <row r="377" spans="1:10" ht="12.75">
      <c r="A377" s="2" t="s">
        <v>2</v>
      </c>
      <c r="B377" s="27" t="s">
        <v>216</v>
      </c>
      <c r="C377" s="2">
        <v>120</v>
      </c>
      <c r="D377" s="2" t="s">
        <v>8</v>
      </c>
      <c r="E377" s="2">
        <v>0.412</v>
      </c>
      <c r="F377" s="45">
        <v>405000</v>
      </c>
      <c r="G377" s="36" t="s">
        <v>423</v>
      </c>
      <c r="H377" s="6"/>
      <c r="I377" s="46"/>
      <c r="J377" s="36"/>
    </row>
    <row r="378" spans="1:10" ht="12.75">
      <c r="A378" s="2" t="s">
        <v>2</v>
      </c>
      <c r="B378" s="27" t="s">
        <v>210</v>
      </c>
      <c r="C378" s="2">
        <v>120</v>
      </c>
      <c r="D378" s="2" t="s">
        <v>8</v>
      </c>
      <c r="E378" s="2">
        <f>0.114-0.013</f>
        <v>0.101</v>
      </c>
      <c r="F378" s="45">
        <v>210000</v>
      </c>
      <c r="G378" s="36" t="s">
        <v>391</v>
      </c>
      <c r="H378" s="6"/>
      <c r="I378" s="6"/>
      <c r="J378" s="6"/>
    </row>
    <row r="379" spans="1:10" ht="12.75">
      <c r="A379" s="2" t="s">
        <v>2</v>
      </c>
      <c r="B379" s="27" t="s">
        <v>108</v>
      </c>
      <c r="C379" s="2">
        <v>120</v>
      </c>
      <c r="D379" s="2" t="s">
        <v>8</v>
      </c>
      <c r="E379" s="2">
        <f>0.219+2.356-0.258-0.218-1.229</f>
        <v>0.8699999999999997</v>
      </c>
      <c r="F379" s="45">
        <v>600000</v>
      </c>
      <c r="G379" s="59" t="s">
        <v>343</v>
      </c>
      <c r="H379" s="6"/>
      <c r="I379" s="6"/>
      <c r="J379" s="6"/>
    </row>
    <row r="380" spans="1:10" ht="12.75">
      <c r="A380" s="2" t="s">
        <v>2</v>
      </c>
      <c r="B380" s="20" t="s">
        <v>100</v>
      </c>
      <c r="C380" s="2">
        <v>120</v>
      </c>
      <c r="D380" s="2" t="s">
        <v>8</v>
      </c>
      <c r="E380" s="2">
        <f>0.113-0.009</f>
        <v>0.10400000000000001</v>
      </c>
      <c r="F380" s="45">
        <v>530000</v>
      </c>
      <c r="G380" s="36" t="s">
        <v>99</v>
      </c>
      <c r="H380" s="6"/>
      <c r="I380" s="6"/>
      <c r="J380" s="6"/>
    </row>
    <row r="381" spans="1:10" ht="12.75">
      <c r="A381" s="2" t="s">
        <v>2</v>
      </c>
      <c r="B381" s="27" t="s">
        <v>204</v>
      </c>
      <c r="C381" s="2">
        <v>120</v>
      </c>
      <c r="D381" s="2" t="s">
        <v>8</v>
      </c>
      <c r="E381" s="25">
        <f>0.264-0.162+0.3+1.495+0.509-0.192-0.098</f>
        <v>2.116</v>
      </c>
      <c r="F381" s="45">
        <v>1400000</v>
      </c>
      <c r="G381" s="36" t="s">
        <v>264</v>
      </c>
      <c r="H381" s="6"/>
      <c r="I381" s="6"/>
      <c r="J381" s="6"/>
    </row>
    <row r="382" spans="1:10" ht="12.75">
      <c r="A382" s="2" t="s">
        <v>2</v>
      </c>
      <c r="B382" s="27" t="s">
        <v>203</v>
      </c>
      <c r="C382" s="2">
        <v>120</v>
      </c>
      <c r="D382" s="2" t="s">
        <v>8</v>
      </c>
      <c r="E382" s="25">
        <v>0.294</v>
      </c>
      <c r="F382" s="45">
        <v>1300000</v>
      </c>
      <c r="G382" s="36" t="s">
        <v>264</v>
      </c>
      <c r="H382" s="6"/>
      <c r="I382" s="6"/>
      <c r="J382" s="6"/>
    </row>
    <row r="383" spans="1:10" ht="12.75">
      <c r="A383" s="2" t="s">
        <v>2</v>
      </c>
      <c r="B383" s="20" t="s">
        <v>110</v>
      </c>
      <c r="C383" s="2">
        <v>120</v>
      </c>
      <c r="D383" s="2" t="s">
        <v>8</v>
      </c>
      <c r="E383" s="2">
        <f>653/1000</f>
        <v>0.653</v>
      </c>
      <c r="F383" s="45">
        <v>540000</v>
      </c>
      <c r="G383" s="6"/>
      <c r="H383" s="6"/>
      <c r="I383" s="6"/>
      <c r="J383" s="6"/>
    </row>
    <row r="384" spans="1:10" ht="12.75">
      <c r="A384" s="2" t="s">
        <v>2</v>
      </c>
      <c r="B384" s="27" t="s">
        <v>499</v>
      </c>
      <c r="C384" s="2">
        <v>120</v>
      </c>
      <c r="D384" s="2" t="s">
        <v>8</v>
      </c>
      <c r="E384" s="2">
        <v>0.442</v>
      </c>
      <c r="F384" s="45">
        <v>500000</v>
      </c>
      <c r="G384" s="36" t="s">
        <v>514</v>
      </c>
      <c r="H384" s="6"/>
      <c r="I384" s="46"/>
      <c r="J384" s="36"/>
    </row>
    <row r="385" spans="1:10" ht="12.75">
      <c r="A385" s="2" t="s">
        <v>2</v>
      </c>
      <c r="B385" s="27" t="s">
        <v>200</v>
      </c>
      <c r="C385" s="2">
        <v>125</v>
      </c>
      <c r="D385" s="2" t="s">
        <v>8</v>
      </c>
      <c r="E385" s="2">
        <v>0.176</v>
      </c>
      <c r="F385" s="45">
        <v>950000</v>
      </c>
      <c r="G385" s="36" t="s">
        <v>358</v>
      </c>
      <c r="H385" s="6"/>
      <c r="I385" s="6"/>
      <c r="J385" s="6"/>
    </row>
    <row r="386" spans="1:10" ht="12.75">
      <c r="A386" s="2" t="s">
        <v>2</v>
      </c>
      <c r="B386" s="27" t="s">
        <v>216</v>
      </c>
      <c r="C386" s="2">
        <v>130</v>
      </c>
      <c r="D386" s="2" t="s">
        <v>8</v>
      </c>
      <c r="E386" s="2">
        <v>1.06</v>
      </c>
      <c r="F386" s="45">
        <v>405000</v>
      </c>
      <c r="G386" s="36" t="s">
        <v>427</v>
      </c>
      <c r="H386" s="70"/>
      <c r="I386" s="71"/>
      <c r="J386" s="68"/>
    </row>
    <row r="387" spans="1:10" ht="12.75">
      <c r="A387" s="2" t="s">
        <v>2</v>
      </c>
      <c r="B387" s="27" t="s">
        <v>210</v>
      </c>
      <c r="C387" s="2">
        <v>130</v>
      </c>
      <c r="D387" s="2" t="s">
        <v>8</v>
      </c>
      <c r="E387" s="2">
        <f>0.135-0.016</f>
        <v>0.11900000000000001</v>
      </c>
      <c r="F387" s="45">
        <v>210000</v>
      </c>
      <c r="G387" s="36" t="s">
        <v>391</v>
      </c>
      <c r="H387" s="6"/>
      <c r="I387" s="6"/>
      <c r="J387" s="77"/>
    </row>
    <row r="388" spans="1:10" ht="12.75">
      <c r="A388" s="2" t="s">
        <v>2</v>
      </c>
      <c r="B388" s="27" t="s">
        <v>108</v>
      </c>
      <c r="C388" s="2">
        <v>130</v>
      </c>
      <c r="D388" s="2" t="s">
        <v>8</v>
      </c>
      <c r="E388" s="2">
        <v>0.564</v>
      </c>
      <c r="F388" s="45">
        <v>670000</v>
      </c>
      <c r="G388" s="36" t="s">
        <v>515</v>
      </c>
      <c r="H388" s="6"/>
      <c r="I388" s="46"/>
      <c r="J388" s="90"/>
    </row>
    <row r="389" spans="1:10" ht="12.75">
      <c r="A389" s="2" t="s">
        <v>2</v>
      </c>
      <c r="B389" s="20" t="s">
        <v>209</v>
      </c>
      <c r="C389" s="2">
        <v>130</v>
      </c>
      <c r="D389" s="2" t="s">
        <v>8</v>
      </c>
      <c r="E389" s="2">
        <f>1.132</f>
        <v>1.132</v>
      </c>
      <c r="F389" s="45">
        <v>490000</v>
      </c>
      <c r="G389" s="36" t="s">
        <v>553</v>
      </c>
      <c r="H389" s="6"/>
      <c r="I389" s="6"/>
      <c r="J389" s="77"/>
    </row>
    <row r="390" spans="1:10" ht="12.75">
      <c r="A390" s="2" t="s">
        <v>2</v>
      </c>
      <c r="B390" s="20" t="s">
        <v>110</v>
      </c>
      <c r="C390" s="2">
        <v>130</v>
      </c>
      <c r="D390" s="2" t="s">
        <v>8</v>
      </c>
      <c r="E390" s="2">
        <v>0.296</v>
      </c>
      <c r="F390" s="45">
        <v>540000</v>
      </c>
      <c r="G390" s="36" t="s">
        <v>176</v>
      </c>
      <c r="H390" s="6"/>
      <c r="I390" s="6"/>
      <c r="J390" s="77"/>
    </row>
    <row r="391" spans="1:10" ht="12.75">
      <c r="A391" s="2" t="s">
        <v>2</v>
      </c>
      <c r="B391" s="20" t="s">
        <v>198</v>
      </c>
      <c r="C391" s="2">
        <v>130</v>
      </c>
      <c r="D391" s="2" t="s">
        <v>8</v>
      </c>
      <c r="E391" s="2">
        <f>0.455+(0.522-0.056)</f>
        <v>0.921</v>
      </c>
      <c r="F391" s="45">
        <v>475000</v>
      </c>
      <c r="G391" s="36" t="s">
        <v>364</v>
      </c>
      <c r="H391" s="6"/>
      <c r="I391" s="6"/>
      <c r="J391" s="77"/>
    </row>
    <row r="392" spans="1:10" ht="12.75">
      <c r="A392" s="2" t="s">
        <v>2</v>
      </c>
      <c r="B392" s="23" t="s">
        <v>230</v>
      </c>
      <c r="C392" s="2">
        <v>130</v>
      </c>
      <c r="D392" s="2" t="s">
        <v>8</v>
      </c>
      <c r="E392" s="25">
        <f>1064/1000</f>
        <v>1.064</v>
      </c>
      <c r="F392" s="45">
        <v>560000</v>
      </c>
      <c r="G392" s="36" t="s">
        <v>481</v>
      </c>
      <c r="H392" s="6"/>
      <c r="I392" s="6"/>
      <c r="J392" s="77"/>
    </row>
    <row r="393" spans="1:10" ht="12.75">
      <c r="A393" s="2" t="s">
        <v>2</v>
      </c>
      <c r="B393" s="27" t="s">
        <v>216</v>
      </c>
      <c r="C393" s="2">
        <v>140</v>
      </c>
      <c r="D393" s="2" t="s">
        <v>8</v>
      </c>
      <c r="E393" s="2">
        <v>0.54</v>
      </c>
      <c r="F393" s="45">
        <v>405000</v>
      </c>
      <c r="G393" s="36" t="s">
        <v>427</v>
      </c>
      <c r="H393" s="70"/>
      <c r="I393" s="71"/>
      <c r="J393" s="93"/>
    </row>
    <row r="394" spans="1:10" ht="12.75">
      <c r="A394" s="2" t="s">
        <v>2</v>
      </c>
      <c r="B394" s="27" t="s">
        <v>213</v>
      </c>
      <c r="C394" s="2">
        <v>140</v>
      </c>
      <c r="D394" s="2" t="s">
        <v>8</v>
      </c>
      <c r="E394" s="25">
        <f>0.232-0.041</f>
        <v>0.191</v>
      </c>
      <c r="F394" s="45">
        <v>670000</v>
      </c>
      <c r="G394" s="36" t="s">
        <v>338</v>
      </c>
      <c r="H394" s="6"/>
      <c r="I394" s="6"/>
      <c r="J394" s="77"/>
    </row>
    <row r="395" spans="1:10" ht="12.75">
      <c r="A395" s="2" t="s">
        <v>2</v>
      </c>
      <c r="B395" s="23" t="s">
        <v>78</v>
      </c>
      <c r="C395" s="2">
        <v>140</v>
      </c>
      <c r="D395" s="2" t="s">
        <v>8</v>
      </c>
      <c r="E395" s="31">
        <f>(35.2)/1000</f>
        <v>0.0352</v>
      </c>
      <c r="F395" s="45">
        <v>2000000</v>
      </c>
      <c r="G395" s="36" t="s">
        <v>588</v>
      </c>
      <c r="H395" s="40"/>
      <c r="I395" s="40"/>
      <c r="J395" s="40"/>
    </row>
    <row r="396" spans="1:10" ht="12.75">
      <c r="A396" s="2" t="s">
        <v>2</v>
      </c>
      <c r="B396" s="20" t="s">
        <v>110</v>
      </c>
      <c r="C396" s="2">
        <v>140</v>
      </c>
      <c r="D396" s="2" t="s">
        <v>8</v>
      </c>
      <c r="E396" s="25">
        <v>0.662</v>
      </c>
      <c r="F396" s="45">
        <v>615000</v>
      </c>
      <c r="G396" s="36" t="s">
        <v>570</v>
      </c>
      <c r="H396" s="6"/>
      <c r="I396" s="6"/>
      <c r="J396" s="4"/>
    </row>
    <row r="397" spans="1:10" ht="12.75">
      <c r="A397" s="2" t="s">
        <v>2</v>
      </c>
      <c r="B397" s="27" t="s">
        <v>203</v>
      </c>
      <c r="C397" s="2">
        <v>145</v>
      </c>
      <c r="D397" s="2" t="s">
        <v>8</v>
      </c>
      <c r="E397" s="25">
        <v>0.504</v>
      </c>
      <c r="F397" s="45">
        <v>1300000</v>
      </c>
      <c r="G397" s="36" t="s">
        <v>264</v>
      </c>
      <c r="H397" s="6"/>
      <c r="I397" s="6"/>
      <c r="J397" s="4"/>
    </row>
    <row r="398" spans="1:10" ht="12.75">
      <c r="A398" s="2" t="s">
        <v>2</v>
      </c>
      <c r="B398" s="27" t="s">
        <v>216</v>
      </c>
      <c r="C398" s="2">
        <v>150</v>
      </c>
      <c r="D398" s="2" t="s">
        <v>8</v>
      </c>
      <c r="E398" s="2">
        <f>0.872+0.93</f>
        <v>1.802</v>
      </c>
      <c r="F398" s="45">
        <v>405000</v>
      </c>
      <c r="G398" s="36" t="s">
        <v>423</v>
      </c>
      <c r="H398" s="6" t="s">
        <v>282</v>
      </c>
      <c r="I398" s="87">
        <v>43157</v>
      </c>
      <c r="J398" s="88" t="s">
        <v>567</v>
      </c>
    </row>
    <row r="399" spans="1:10" ht="12.75">
      <c r="A399" s="2" t="s">
        <v>2</v>
      </c>
      <c r="B399" s="27" t="s">
        <v>213</v>
      </c>
      <c r="C399" s="2">
        <v>150</v>
      </c>
      <c r="D399" s="2" t="s">
        <v>8</v>
      </c>
      <c r="E399" s="25">
        <v>0.323</v>
      </c>
      <c r="F399" s="45">
        <v>670000</v>
      </c>
      <c r="G399" s="36" t="s">
        <v>338</v>
      </c>
      <c r="H399" s="6"/>
      <c r="I399" s="6"/>
      <c r="J399" s="77"/>
    </row>
    <row r="400" spans="1:10" ht="12.75">
      <c r="A400" s="2" t="s">
        <v>2</v>
      </c>
      <c r="B400" s="27" t="s">
        <v>210</v>
      </c>
      <c r="C400" s="2">
        <v>150</v>
      </c>
      <c r="D400" s="2" t="s">
        <v>8</v>
      </c>
      <c r="E400" s="2">
        <f>0.404-0.076</f>
        <v>0.328</v>
      </c>
      <c r="F400" s="45">
        <v>210000</v>
      </c>
      <c r="G400" s="36" t="s">
        <v>391</v>
      </c>
      <c r="H400" s="6"/>
      <c r="I400" s="6"/>
      <c r="J400" s="77"/>
    </row>
    <row r="401" spans="1:10" ht="12.75">
      <c r="A401" s="2" t="s">
        <v>2</v>
      </c>
      <c r="B401" s="27" t="s">
        <v>108</v>
      </c>
      <c r="C401" s="2">
        <v>150</v>
      </c>
      <c r="D401" s="2" t="s">
        <v>8</v>
      </c>
      <c r="E401" s="2">
        <v>0.226</v>
      </c>
      <c r="F401" s="45">
        <v>600000</v>
      </c>
      <c r="G401" s="59" t="s">
        <v>343</v>
      </c>
      <c r="H401" s="6"/>
      <c r="I401" s="6"/>
      <c r="J401" s="77"/>
    </row>
    <row r="402" spans="1:10" ht="12.75">
      <c r="A402" s="2" t="s">
        <v>2</v>
      </c>
      <c r="B402" s="20" t="s">
        <v>209</v>
      </c>
      <c r="C402" s="2">
        <v>150</v>
      </c>
      <c r="D402" s="2" t="s">
        <v>8</v>
      </c>
      <c r="E402" s="2">
        <f>0.298-0.036</f>
        <v>0.262</v>
      </c>
      <c r="F402" s="45">
        <v>490000</v>
      </c>
      <c r="G402" s="36" t="s">
        <v>553</v>
      </c>
      <c r="H402" s="6"/>
      <c r="I402" s="6"/>
      <c r="J402" s="4"/>
    </row>
    <row r="403" spans="1:10" ht="12.75">
      <c r="A403" s="2" t="s">
        <v>2</v>
      </c>
      <c r="B403" s="27" t="s">
        <v>204</v>
      </c>
      <c r="C403" s="2">
        <v>150</v>
      </c>
      <c r="D403" s="2" t="s">
        <v>8</v>
      </c>
      <c r="E403" s="25">
        <f>0.878+0.362</f>
        <v>1.24</v>
      </c>
      <c r="F403" s="45">
        <v>1400000</v>
      </c>
      <c r="G403" s="36" t="s">
        <v>264</v>
      </c>
      <c r="H403" s="6"/>
      <c r="I403" s="6"/>
      <c r="J403" s="6"/>
    </row>
    <row r="404" spans="1:10" ht="12.75">
      <c r="A404" s="2" t="s">
        <v>2</v>
      </c>
      <c r="B404" s="27" t="s">
        <v>203</v>
      </c>
      <c r="C404" s="2">
        <v>150</v>
      </c>
      <c r="D404" s="2" t="s">
        <v>8</v>
      </c>
      <c r="E404" s="25">
        <f>1.108+0.136-0.496</f>
        <v>0.7480000000000002</v>
      </c>
      <c r="F404" s="45">
        <v>1300000</v>
      </c>
      <c r="G404" s="36" t="s">
        <v>264</v>
      </c>
      <c r="H404" s="6"/>
      <c r="I404" s="6"/>
      <c r="J404" s="6"/>
    </row>
    <row r="405" spans="1:10" ht="12.75">
      <c r="A405" s="2" t="s">
        <v>2</v>
      </c>
      <c r="B405" s="20" t="s">
        <v>198</v>
      </c>
      <c r="C405" s="2">
        <v>150</v>
      </c>
      <c r="D405" s="2" t="s">
        <v>8</v>
      </c>
      <c r="E405" s="2">
        <f>0.46</f>
        <v>0.46</v>
      </c>
      <c r="F405" s="45">
        <v>475000</v>
      </c>
      <c r="G405" s="36" t="s">
        <v>447</v>
      </c>
      <c r="H405" s="5"/>
      <c r="I405" s="5"/>
      <c r="J405" s="5"/>
    </row>
    <row r="406" spans="1:10" ht="12.75">
      <c r="A406" s="2" t="s">
        <v>2</v>
      </c>
      <c r="B406" s="23" t="s">
        <v>230</v>
      </c>
      <c r="C406" s="2">
        <v>150</v>
      </c>
      <c r="D406" s="2" t="s">
        <v>8</v>
      </c>
      <c r="E406" s="25">
        <f>0.18+0.058+0.142</f>
        <v>0.38</v>
      </c>
      <c r="F406" s="45">
        <v>560000</v>
      </c>
      <c r="G406" s="36" t="s">
        <v>332</v>
      </c>
      <c r="H406" s="6"/>
      <c r="I406" s="6"/>
      <c r="J406" s="5"/>
    </row>
    <row r="407" spans="1:10" ht="12.75">
      <c r="A407" s="2" t="s">
        <v>2</v>
      </c>
      <c r="B407" s="27" t="s">
        <v>213</v>
      </c>
      <c r="C407" s="2">
        <v>160</v>
      </c>
      <c r="D407" s="2" t="s">
        <v>8</v>
      </c>
      <c r="E407" s="25">
        <v>0.55</v>
      </c>
      <c r="F407" s="45">
        <v>920000</v>
      </c>
      <c r="G407" s="36" t="s">
        <v>339</v>
      </c>
      <c r="H407" s="6"/>
      <c r="I407" s="6"/>
      <c r="J407" s="6"/>
    </row>
    <row r="408" spans="1:10" ht="12.75">
      <c r="A408" s="2" t="s">
        <v>2</v>
      </c>
      <c r="B408" s="27" t="s">
        <v>210</v>
      </c>
      <c r="C408" s="2">
        <v>160</v>
      </c>
      <c r="D408" s="2" t="s">
        <v>8</v>
      </c>
      <c r="E408" s="2">
        <f>2.834-1.07-0.245-0.024</f>
        <v>1.495</v>
      </c>
      <c r="F408" s="45">
        <v>190000</v>
      </c>
      <c r="G408" s="6"/>
      <c r="H408" s="6"/>
      <c r="I408" s="6"/>
      <c r="J408" s="6"/>
    </row>
    <row r="409" spans="1:10" ht="12.75">
      <c r="A409" s="2" t="s">
        <v>2</v>
      </c>
      <c r="B409" s="20" t="s">
        <v>148</v>
      </c>
      <c r="C409" s="2">
        <v>160</v>
      </c>
      <c r="D409" s="2" t="s">
        <v>8</v>
      </c>
      <c r="E409" s="25">
        <f>(192.5)/1000</f>
        <v>0.1925</v>
      </c>
      <c r="F409" s="45">
        <v>520000</v>
      </c>
      <c r="G409" s="36"/>
      <c r="H409" s="6"/>
      <c r="I409" s="46"/>
      <c r="J409" s="39"/>
    </row>
    <row r="410" spans="1:10" ht="12.75">
      <c r="A410" s="2" t="s">
        <v>2</v>
      </c>
      <c r="B410" s="20" t="s">
        <v>110</v>
      </c>
      <c r="C410" s="2">
        <v>160</v>
      </c>
      <c r="D410" s="2" t="s">
        <v>8</v>
      </c>
      <c r="E410" s="25">
        <v>0.636</v>
      </c>
      <c r="F410" s="45">
        <v>615000</v>
      </c>
      <c r="G410" s="36" t="s">
        <v>570</v>
      </c>
      <c r="H410" s="6"/>
      <c r="I410" s="6"/>
      <c r="J410" s="6"/>
    </row>
    <row r="411" spans="1:10" ht="12.75">
      <c r="A411" s="2" t="s">
        <v>2</v>
      </c>
      <c r="B411" s="20" t="s">
        <v>198</v>
      </c>
      <c r="C411" s="2">
        <v>160</v>
      </c>
      <c r="D411" s="2" t="s">
        <v>8</v>
      </c>
      <c r="E411" s="2">
        <v>0.067</v>
      </c>
      <c r="F411" s="45">
        <v>350000</v>
      </c>
      <c r="G411" s="36" t="s">
        <v>306</v>
      </c>
      <c r="H411" s="6"/>
      <c r="I411" s="6"/>
      <c r="J411" s="6"/>
    </row>
    <row r="412" spans="1:10" ht="12.75">
      <c r="A412" s="2" t="s">
        <v>2</v>
      </c>
      <c r="B412" s="23" t="s">
        <v>205</v>
      </c>
      <c r="C412" s="2">
        <v>170</v>
      </c>
      <c r="D412" s="2" t="s">
        <v>8</v>
      </c>
      <c r="E412" s="2">
        <v>0.986</v>
      </c>
      <c r="F412" s="45">
        <v>520000</v>
      </c>
      <c r="G412" s="36" t="s">
        <v>519</v>
      </c>
      <c r="H412" s="6" t="s">
        <v>280</v>
      </c>
      <c r="I412" s="46">
        <v>43159</v>
      </c>
      <c r="J412" s="39">
        <v>520</v>
      </c>
    </row>
    <row r="413" spans="1:10" ht="12.75">
      <c r="A413" s="2" t="s">
        <v>2</v>
      </c>
      <c r="B413" s="27" t="s">
        <v>216</v>
      </c>
      <c r="C413" s="2">
        <v>180</v>
      </c>
      <c r="D413" s="2" t="s">
        <v>8</v>
      </c>
      <c r="E413" s="2">
        <f>1.244-0.486-0.188</f>
        <v>0.5700000000000001</v>
      </c>
      <c r="F413" s="45">
        <v>405000</v>
      </c>
      <c r="G413" s="36" t="s">
        <v>427</v>
      </c>
      <c r="H413" s="70"/>
      <c r="I413" s="71"/>
      <c r="J413" s="68"/>
    </row>
    <row r="414" spans="1:10" ht="12.75">
      <c r="A414" s="2" t="s">
        <v>2</v>
      </c>
      <c r="B414" s="22" t="s">
        <v>202</v>
      </c>
      <c r="C414" s="2">
        <v>180</v>
      </c>
      <c r="D414" s="2" t="s">
        <v>8</v>
      </c>
      <c r="E414" s="2">
        <f>0.554-0.1-0.102</f>
        <v>0.3520000000000001</v>
      </c>
      <c r="F414" s="45">
        <v>320000</v>
      </c>
      <c r="G414" s="36" t="s">
        <v>340</v>
      </c>
      <c r="H414" s="6"/>
      <c r="I414" s="6"/>
      <c r="J414" s="6"/>
    </row>
    <row r="415" spans="1:10" ht="12.75">
      <c r="A415" s="2" t="s">
        <v>2</v>
      </c>
      <c r="B415" s="27" t="s">
        <v>200</v>
      </c>
      <c r="C415" s="2">
        <v>180</v>
      </c>
      <c r="D415" s="2" t="s">
        <v>8</v>
      </c>
      <c r="E415" s="2">
        <f>0.36+0.496</f>
        <v>0.856</v>
      </c>
      <c r="F415" s="45">
        <v>750000</v>
      </c>
      <c r="G415" s="36" t="s">
        <v>358</v>
      </c>
      <c r="H415" s="6"/>
      <c r="I415" s="6"/>
      <c r="J415" s="6"/>
    </row>
    <row r="416" spans="1:10" ht="12.75">
      <c r="A416" s="2" t="s">
        <v>2</v>
      </c>
      <c r="B416" s="20" t="s">
        <v>198</v>
      </c>
      <c r="C416" s="2">
        <v>180</v>
      </c>
      <c r="D416" s="2" t="s">
        <v>8</v>
      </c>
      <c r="E416" s="2">
        <f>1.09-0.304+0.062</f>
        <v>0.8480000000000001</v>
      </c>
      <c r="F416" s="45">
        <v>475000</v>
      </c>
      <c r="G416" s="36" t="s">
        <v>341</v>
      </c>
      <c r="H416" s="6"/>
      <c r="I416" s="6"/>
      <c r="J416" s="6"/>
    </row>
    <row r="417" spans="1:10" ht="12.75">
      <c r="A417" s="2" t="s">
        <v>2</v>
      </c>
      <c r="B417" s="27" t="s">
        <v>210</v>
      </c>
      <c r="C417" s="2">
        <v>190</v>
      </c>
      <c r="D417" s="2" t="s">
        <v>8</v>
      </c>
      <c r="E417" s="2">
        <v>0.28</v>
      </c>
      <c r="F417" s="45">
        <v>190000</v>
      </c>
      <c r="G417" s="36" t="s">
        <v>391</v>
      </c>
      <c r="H417" s="6"/>
      <c r="I417" s="6"/>
      <c r="J417" s="6"/>
    </row>
    <row r="418" spans="1:10" ht="12.75">
      <c r="A418" s="65" t="s">
        <v>2</v>
      </c>
      <c r="B418" s="66" t="s">
        <v>209</v>
      </c>
      <c r="C418" s="65">
        <v>190</v>
      </c>
      <c r="D418" s="65" t="s">
        <v>8</v>
      </c>
      <c r="E418" s="65">
        <v>0.929</v>
      </c>
      <c r="F418" s="67">
        <v>520000</v>
      </c>
      <c r="G418" s="68" t="s">
        <v>585</v>
      </c>
      <c r="H418" s="6"/>
      <c r="I418" s="46"/>
      <c r="J418" s="36"/>
    </row>
    <row r="419" spans="1:10" ht="12.75">
      <c r="A419" s="2" t="s">
        <v>2</v>
      </c>
      <c r="B419" s="27" t="s">
        <v>216</v>
      </c>
      <c r="C419" s="2">
        <v>200</v>
      </c>
      <c r="D419" s="2" t="s">
        <v>8</v>
      </c>
      <c r="E419" s="2">
        <v>1.29</v>
      </c>
      <c r="F419" s="45">
        <v>405000</v>
      </c>
      <c r="G419" s="36" t="s">
        <v>423</v>
      </c>
      <c r="H419" s="6" t="s">
        <v>282</v>
      </c>
      <c r="I419" s="46">
        <v>43147</v>
      </c>
      <c r="J419" s="39">
        <v>405</v>
      </c>
    </row>
    <row r="420" spans="1:10" ht="12.75">
      <c r="A420" s="2" t="s">
        <v>2</v>
      </c>
      <c r="B420" s="22" t="s">
        <v>211</v>
      </c>
      <c r="C420" s="2">
        <v>200</v>
      </c>
      <c r="D420" s="2" t="s">
        <v>8</v>
      </c>
      <c r="E420" s="2">
        <v>0.44</v>
      </c>
      <c r="F420" s="45">
        <v>420000</v>
      </c>
      <c r="G420" s="36" t="s">
        <v>166</v>
      </c>
      <c r="H420" s="6"/>
      <c r="I420" s="6"/>
      <c r="J420" s="6"/>
    </row>
    <row r="421" spans="1:10" ht="12.75">
      <c r="A421" s="2" t="s">
        <v>2</v>
      </c>
      <c r="B421" s="20" t="s">
        <v>198</v>
      </c>
      <c r="C421" s="2">
        <v>200</v>
      </c>
      <c r="D421" s="2" t="s">
        <v>8</v>
      </c>
      <c r="E421" s="2">
        <f>0.539-0.38</f>
        <v>0.15900000000000003</v>
      </c>
      <c r="F421" s="45">
        <v>475000</v>
      </c>
      <c r="G421" s="36" t="s">
        <v>623</v>
      </c>
      <c r="H421" s="6"/>
      <c r="I421" s="6"/>
      <c r="J421" s="6"/>
    </row>
    <row r="422" spans="1:10" ht="12.75">
      <c r="A422" s="2" t="s">
        <v>2</v>
      </c>
      <c r="B422" s="91" t="s">
        <v>198</v>
      </c>
      <c r="C422" s="2">
        <v>240</v>
      </c>
      <c r="D422" s="2" t="s">
        <v>8</v>
      </c>
      <c r="E422" s="2">
        <f>(124+84+94+132)/1000</f>
        <v>0.434</v>
      </c>
      <c r="F422" s="45">
        <v>350000</v>
      </c>
      <c r="G422" s="6"/>
      <c r="H422" s="6"/>
      <c r="I422" s="6"/>
      <c r="J422" s="6"/>
    </row>
    <row r="423" spans="1:10" ht="12.75">
      <c r="A423" s="2" t="s">
        <v>2</v>
      </c>
      <c r="B423" s="27" t="s">
        <v>202</v>
      </c>
      <c r="C423" s="2">
        <v>255</v>
      </c>
      <c r="D423" s="2" t="s">
        <v>8</v>
      </c>
      <c r="E423" s="2">
        <v>0.538</v>
      </c>
      <c r="F423" s="45">
        <v>370000</v>
      </c>
      <c r="G423" s="36" t="s">
        <v>605</v>
      </c>
      <c r="H423" s="6"/>
      <c r="I423" s="6"/>
      <c r="J423" s="6"/>
    </row>
    <row r="424" spans="1:10" ht="12.75">
      <c r="A424" s="2" t="s">
        <v>2</v>
      </c>
      <c r="B424" s="20" t="s">
        <v>198</v>
      </c>
      <c r="C424" s="2">
        <v>260</v>
      </c>
      <c r="D424" s="2" t="s">
        <v>8</v>
      </c>
      <c r="E424" s="2">
        <v>0.15</v>
      </c>
      <c r="F424" s="45">
        <v>350000</v>
      </c>
      <c r="G424" s="36" t="s">
        <v>448</v>
      </c>
      <c r="H424" s="6"/>
      <c r="I424" s="6"/>
      <c r="J424" s="6"/>
    </row>
    <row r="425" spans="1:10" ht="12.75">
      <c r="A425" s="2" t="s">
        <v>2</v>
      </c>
      <c r="B425" s="75" t="s">
        <v>202</v>
      </c>
      <c r="C425" s="2">
        <v>360</v>
      </c>
      <c r="D425" s="2" t="s">
        <v>8</v>
      </c>
      <c r="E425" s="2">
        <f>0.145+0.157+0.147+0.147+0.133+0.13+0.115+0.131+0.123+0.145</f>
        <v>1.373</v>
      </c>
      <c r="F425" s="45">
        <v>425000</v>
      </c>
      <c r="G425" s="36" t="s">
        <v>457</v>
      </c>
      <c r="H425" s="6"/>
      <c r="I425" s="6"/>
      <c r="J425" s="6"/>
    </row>
    <row r="426" spans="1:10" ht="12.75">
      <c r="A426" s="2" t="s">
        <v>2</v>
      </c>
      <c r="B426" s="22" t="s">
        <v>202</v>
      </c>
      <c r="C426" s="2">
        <v>365</v>
      </c>
      <c r="D426" s="2" t="s">
        <v>8</v>
      </c>
      <c r="E426" s="2">
        <v>0.133</v>
      </c>
      <c r="F426" s="45">
        <v>425000</v>
      </c>
      <c r="G426" s="63">
        <v>150</v>
      </c>
      <c r="H426" s="6"/>
      <c r="I426" s="6"/>
      <c r="J426" s="6"/>
    </row>
    <row r="427" spans="1:10" ht="12.75">
      <c r="A427" s="2" t="s">
        <v>2</v>
      </c>
      <c r="B427" s="91" t="s">
        <v>198</v>
      </c>
      <c r="C427" s="2">
        <v>380</v>
      </c>
      <c r="D427" s="2" t="s">
        <v>8</v>
      </c>
      <c r="E427" s="2">
        <v>0.742</v>
      </c>
      <c r="F427" s="45">
        <v>540000</v>
      </c>
      <c r="G427" s="36" t="s">
        <v>603</v>
      </c>
      <c r="H427" s="6"/>
      <c r="I427" s="46"/>
      <c r="J427" s="39"/>
    </row>
    <row r="428" spans="1:10" ht="12.75">
      <c r="A428" s="2" t="s">
        <v>2</v>
      </c>
      <c r="B428" s="22" t="s">
        <v>202</v>
      </c>
      <c r="C428" s="2">
        <v>460</v>
      </c>
      <c r="D428" s="2" t="s">
        <v>8</v>
      </c>
      <c r="E428" s="2">
        <f>0.073+0.231</f>
        <v>0.304</v>
      </c>
      <c r="F428" s="45">
        <v>425000</v>
      </c>
      <c r="G428" s="63" t="s">
        <v>115</v>
      </c>
      <c r="H428" s="6"/>
      <c r="I428" s="6"/>
      <c r="J428" s="6"/>
    </row>
    <row r="429" spans="1:10" ht="12.75">
      <c r="A429" s="2" t="s">
        <v>2</v>
      </c>
      <c r="B429" s="91" t="s">
        <v>198</v>
      </c>
      <c r="C429" s="2">
        <v>630</v>
      </c>
      <c r="D429" s="2" t="s">
        <v>8</v>
      </c>
      <c r="E429" s="2">
        <v>1.048</v>
      </c>
      <c r="F429" s="45">
        <v>350000</v>
      </c>
      <c r="G429" s="36" t="s">
        <v>223</v>
      </c>
      <c r="H429" s="6"/>
      <c r="I429" s="6"/>
      <c r="J429" s="6"/>
    </row>
    <row r="430" spans="1:10" ht="12.75">
      <c r="A430" s="2" t="s">
        <v>30</v>
      </c>
      <c r="B430" s="27" t="s">
        <v>566</v>
      </c>
      <c r="C430" s="82">
        <v>1</v>
      </c>
      <c r="D430" s="2" t="s">
        <v>8</v>
      </c>
      <c r="E430" s="25">
        <f>(17+4.5)/1000</f>
        <v>0.0215</v>
      </c>
      <c r="F430" s="45">
        <v>530000</v>
      </c>
      <c r="G430" s="36"/>
      <c r="H430" s="6"/>
      <c r="I430" s="6"/>
      <c r="J430" s="6"/>
    </row>
    <row r="431" spans="1:10" s="4" customFormat="1" ht="12.75">
      <c r="A431" s="2" t="s">
        <v>30</v>
      </c>
      <c r="B431" s="27" t="s">
        <v>566</v>
      </c>
      <c r="C431" s="82">
        <v>1.5</v>
      </c>
      <c r="D431" s="2" t="s">
        <v>8</v>
      </c>
      <c r="E431" s="25">
        <f>(19.5-10)/1000</f>
        <v>0.0095</v>
      </c>
      <c r="F431" s="45">
        <v>530000</v>
      </c>
      <c r="G431" s="36"/>
      <c r="H431" s="6"/>
      <c r="I431" s="6"/>
      <c r="J431" s="6"/>
    </row>
    <row r="432" spans="1:10" ht="12.75">
      <c r="A432" s="2" t="s">
        <v>30</v>
      </c>
      <c r="B432" s="22" t="s">
        <v>19</v>
      </c>
      <c r="C432" s="2">
        <v>2</v>
      </c>
      <c r="D432" s="2" t="s">
        <v>8</v>
      </c>
      <c r="E432" s="2">
        <v>0.031</v>
      </c>
      <c r="F432" s="45">
        <v>1350000</v>
      </c>
      <c r="G432" s="36"/>
      <c r="H432" s="6"/>
      <c r="I432" s="6"/>
      <c r="J432" s="6"/>
    </row>
    <row r="433" spans="1:10" ht="12.75">
      <c r="A433" s="2" t="s">
        <v>30</v>
      </c>
      <c r="B433" s="23" t="s">
        <v>58</v>
      </c>
      <c r="C433" s="82">
        <v>2.2</v>
      </c>
      <c r="D433" s="2" t="s">
        <v>8</v>
      </c>
      <c r="E433" s="2">
        <f>(25.4)/1000</f>
        <v>0.0254</v>
      </c>
      <c r="F433" s="45">
        <v>530000</v>
      </c>
      <c r="G433" s="36"/>
      <c r="H433" s="6"/>
      <c r="I433" s="6"/>
      <c r="J433" s="6"/>
    </row>
    <row r="434" spans="1:10" ht="12.75">
      <c r="A434" s="2" t="s">
        <v>30</v>
      </c>
      <c r="B434" s="23" t="s">
        <v>58</v>
      </c>
      <c r="C434" s="82">
        <v>2.5</v>
      </c>
      <c r="D434" s="2" t="s">
        <v>8</v>
      </c>
      <c r="E434" s="25">
        <f>(9.5)/1000</f>
        <v>0.0095</v>
      </c>
      <c r="F434" s="45">
        <v>530000</v>
      </c>
      <c r="G434" s="36"/>
      <c r="H434" s="6"/>
      <c r="I434" s="6"/>
      <c r="J434" s="6"/>
    </row>
    <row r="435" spans="1:10" ht="12.75">
      <c r="A435" s="2" t="s">
        <v>30</v>
      </c>
      <c r="B435" s="23" t="s">
        <v>98</v>
      </c>
      <c r="C435" s="2">
        <v>2.5</v>
      </c>
      <c r="D435" s="2" t="s">
        <v>8</v>
      </c>
      <c r="E435" s="25">
        <f>0.035-0.015</f>
        <v>0.020000000000000004</v>
      </c>
      <c r="F435" s="45">
        <v>2700000</v>
      </c>
      <c r="G435" s="36" t="s">
        <v>407</v>
      </c>
      <c r="H435" s="6"/>
      <c r="I435" s="6"/>
      <c r="J435" s="6"/>
    </row>
    <row r="436" spans="1:10" ht="12.75">
      <c r="A436" s="2" t="s">
        <v>30</v>
      </c>
      <c r="B436" s="23" t="s">
        <v>98</v>
      </c>
      <c r="C436" s="82">
        <v>3</v>
      </c>
      <c r="D436" s="2" t="s">
        <v>8</v>
      </c>
      <c r="E436" s="25">
        <v>0.021</v>
      </c>
      <c r="F436" s="45" t="s">
        <v>607</v>
      </c>
      <c r="G436" s="36"/>
      <c r="H436" s="6"/>
      <c r="I436" s="6"/>
      <c r="J436" s="6"/>
    </row>
    <row r="437" spans="1:10" ht="12.75">
      <c r="A437" s="2" t="s">
        <v>30</v>
      </c>
      <c r="B437" s="23" t="s">
        <v>58</v>
      </c>
      <c r="C437" s="82">
        <v>4</v>
      </c>
      <c r="D437" s="2" t="s">
        <v>8</v>
      </c>
      <c r="E437" s="2">
        <f>5.5/1000</f>
        <v>0.0055</v>
      </c>
      <c r="F437" s="45" t="s">
        <v>565</v>
      </c>
      <c r="G437" s="36"/>
      <c r="H437" s="6"/>
      <c r="I437" s="6"/>
      <c r="J437" s="6"/>
    </row>
    <row r="438" spans="1:10" s="4" customFormat="1" ht="12.75">
      <c r="A438" s="2" t="s">
        <v>30</v>
      </c>
      <c r="B438" s="27" t="s">
        <v>554</v>
      </c>
      <c r="C438" s="82">
        <v>5</v>
      </c>
      <c r="D438" s="2" t="s">
        <v>8</v>
      </c>
      <c r="E438" s="25">
        <f>377.5/1000</f>
        <v>0.3775</v>
      </c>
      <c r="F438" s="45">
        <v>720000</v>
      </c>
      <c r="G438" s="36"/>
      <c r="H438" s="6"/>
      <c r="I438" s="6"/>
      <c r="J438" s="6"/>
    </row>
    <row r="439" spans="1:248" s="4" customFormat="1" ht="12.75">
      <c r="A439" s="2" t="s">
        <v>30</v>
      </c>
      <c r="B439" s="23" t="s">
        <v>58</v>
      </c>
      <c r="C439" s="2">
        <v>5</v>
      </c>
      <c r="D439" s="2" t="s">
        <v>8</v>
      </c>
      <c r="E439" s="25">
        <f>(50-3+11+19.4)/1000</f>
        <v>0.07740000000000001</v>
      </c>
      <c r="F439" s="45">
        <v>410000</v>
      </c>
      <c r="G439" s="36" t="s">
        <v>408</v>
      </c>
      <c r="H439" s="6"/>
      <c r="I439" s="6"/>
      <c r="J439" s="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</row>
    <row r="440" spans="1:10" ht="12.75">
      <c r="A440" s="2" t="s">
        <v>30</v>
      </c>
      <c r="B440" s="23" t="s">
        <v>98</v>
      </c>
      <c r="C440" s="82">
        <v>5</v>
      </c>
      <c r="D440" s="2" t="s">
        <v>8</v>
      </c>
      <c r="E440" s="25">
        <v>0.025</v>
      </c>
      <c r="F440" s="45" t="s">
        <v>607</v>
      </c>
      <c r="G440" s="36"/>
      <c r="H440" s="6"/>
      <c r="I440" s="6"/>
      <c r="J440" s="6"/>
    </row>
    <row r="441" spans="1:10" ht="12.75">
      <c r="A441" s="2" t="s">
        <v>30</v>
      </c>
      <c r="B441" s="23" t="s">
        <v>58</v>
      </c>
      <c r="C441" s="82">
        <v>6</v>
      </c>
      <c r="D441" s="2" t="s">
        <v>8</v>
      </c>
      <c r="E441" s="25">
        <v>0.031</v>
      </c>
      <c r="F441" s="45">
        <v>410000</v>
      </c>
      <c r="G441" s="36"/>
      <c r="H441" s="6"/>
      <c r="I441" s="6"/>
      <c r="J441" s="6"/>
    </row>
    <row r="442" spans="1:10" ht="12.75">
      <c r="A442" s="2" t="s">
        <v>30</v>
      </c>
      <c r="B442" s="23" t="s">
        <v>58</v>
      </c>
      <c r="C442" s="2">
        <v>7</v>
      </c>
      <c r="D442" s="2" t="s">
        <v>8</v>
      </c>
      <c r="E442" s="2">
        <f>0.182-0.015</f>
        <v>0.16699999999999998</v>
      </c>
      <c r="F442" s="45">
        <v>350000</v>
      </c>
      <c r="G442" s="36" t="s">
        <v>409</v>
      </c>
      <c r="H442" s="6"/>
      <c r="I442" s="6"/>
      <c r="J442" s="6"/>
    </row>
    <row r="443" spans="1:10" ht="12.75">
      <c r="A443" s="2" t="s">
        <v>30</v>
      </c>
      <c r="B443" s="23" t="s">
        <v>98</v>
      </c>
      <c r="C443" s="24">
        <v>7.5</v>
      </c>
      <c r="D443" s="2" t="s">
        <v>8</v>
      </c>
      <c r="E443" s="2">
        <f>0.074-0.023</f>
        <v>0.051</v>
      </c>
      <c r="F443" s="45">
        <v>2350000</v>
      </c>
      <c r="G443" s="36" t="s">
        <v>410</v>
      </c>
      <c r="H443" s="6"/>
      <c r="I443" s="6"/>
      <c r="J443" s="6"/>
    </row>
    <row r="444" spans="1:10" s="4" customFormat="1" ht="12.75">
      <c r="A444" s="2" t="s">
        <v>30</v>
      </c>
      <c r="B444" s="21" t="s">
        <v>14</v>
      </c>
      <c r="C444" s="2">
        <v>12</v>
      </c>
      <c r="D444" s="2" t="s">
        <v>8</v>
      </c>
      <c r="E444" s="2">
        <f>0.145-0.01-0.016-0.034</f>
        <v>0.08499999999999998</v>
      </c>
      <c r="F444" s="45">
        <v>225000</v>
      </c>
      <c r="G444" s="36" t="s">
        <v>411</v>
      </c>
      <c r="H444" s="6"/>
      <c r="I444" s="6"/>
      <c r="J444" s="6"/>
    </row>
    <row r="445" spans="1:10" ht="12.75">
      <c r="A445" s="2" t="s">
        <v>30</v>
      </c>
      <c r="B445" s="23" t="s">
        <v>14</v>
      </c>
      <c r="C445" s="2">
        <v>14</v>
      </c>
      <c r="D445" s="2" t="s">
        <v>8</v>
      </c>
      <c r="E445" s="2">
        <f>0.054+0.25-0.021-0.04-0.011</f>
        <v>0.23199999999999996</v>
      </c>
      <c r="F445" s="45">
        <v>225000</v>
      </c>
      <c r="G445" s="36" t="s">
        <v>412</v>
      </c>
      <c r="H445" s="6"/>
      <c r="I445" s="6"/>
      <c r="J445" s="6"/>
    </row>
    <row r="446" spans="1:10" ht="12.75">
      <c r="A446" s="2" t="s">
        <v>30</v>
      </c>
      <c r="B446" s="21" t="s">
        <v>67</v>
      </c>
      <c r="C446" s="2">
        <v>14</v>
      </c>
      <c r="D446" s="2" t="s">
        <v>8</v>
      </c>
      <c r="E446" s="2">
        <f>0.13-0.007-0.042-0.02</f>
        <v>0.060999999999999985</v>
      </c>
      <c r="F446" s="45" t="s">
        <v>565</v>
      </c>
      <c r="G446" s="36" t="s">
        <v>415</v>
      </c>
      <c r="H446" s="6"/>
      <c r="I446" s="6"/>
      <c r="J446" s="6"/>
    </row>
    <row r="447" spans="1:10" ht="12.75">
      <c r="A447" s="2" t="s">
        <v>30</v>
      </c>
      <c r="B447" s="23" t="s">
        <v>14</v>
      </c>
      <c r="C447" s="2">
        <v>16</v>
      </c>
      <c r="D447" s="2" t="s">
        <v>8</v>
      </c>
      <c r="E447" s="2">
        <f>0.215-0.019-0.01</f>
        <v>0.186</v>
      </c>
      <c r="F447" s="45">
        <v>225000</v>
      </c>
      <c r="G447" s="36" t="s">
        <v>412</v>
      </c>
      <c r="H447" s="6"/>
      <c r="I447" s="6"/>
      <c r="J447" s="6"/>
    </row>
    <row r="448" spans="1:10" ht="12.75">
      <c r="A448" s="2" t="s">
        <v>30</v>
      </c>
      <c r="B448" s="21" t="s">
        <v>67</v>
      </c>
      <c r="C448" s="2">
        <v>16</v>
      </c>
      <c r="D448" s="2" t="s">
        <v>8</v>
      </c>
      <c r="E448" s="2">
        <f>0.6-0.05-0.061</f>
        <v>0.48899999999999993</v>
      </c>
      <c r="F448" s="45">
        <v>60000</v>
      </c>
      <c r="G448" s="36" t="s">
        <v>68</v>
      </c>
      <c r="H448" s="6"/>
      <c r="I448" s="6"/>
      <c r="J448" s="6"/>
    </row>
    <row r="449" spans="1:10" ht="12.75">
      <c r="A449" s="2" t="s">
        <v>30</v>
      </c>
      <c r="B449" s="21" t="s">
        <v>19</v>
      </c>
      <c r="C449" s="2">
        <v>16</v>
      </c>
      <c r="D449" s="2" t="s">
        <v>8</v>
      </c>
      <c r="E449" s="2">
        <f>0.25-0.016-0.03</f>
        <v>0.204</v>
      </c>
      <c r="F449" s="45">
        <v>700000</v>
      </c>
      <c r="G449" s="36" t="s">
        <v>416</v>
      </c>
      <c r="H449" s="6"/>
      <c r="I449" s="6"/>
      <c r="J449" s="6"/>
    </row>
    <row r="450" spans="1:10" s="4" customFormat="1" ht="12.75">
      <c r="A450" s="2" t="s">
        <v>30</v>
      </c>
      <c r="B450" s="21" t="s">
        <v>86</v>
      </c>
      <c r="C450" s="2">
        <v>19</v>
      </c>
      <c r="D450" s="2" t="s">
        <v>8</v>
      </c>
      <c r="E450" s="2">
        <f>0.243-0.158</f>
        <v>0.08499999999999999</v>
      </c>
      <c r="F450" s="45">
        <v>700000</v>
      </c>
      <c r="G450" s="36" t="s">
        <v>87</v>
      </c>
      <c r="H450" s="6"/>
      <c r="I450" s="6"/>
      <c r="J450" s="6"/>
    </row>
    <row r="451" spans="1:10" s="4" customFormat="1" ht="12.75">
      <c r="A451" s="2" t="s">
        <v>30</v>
      </c>
      <c r="B451" s="23" t="s">
        <v>14</v>
      </c>
      <c r="C451" s="2">
        <v>20</v>
      </c>
      <c r="D451" s="2" t="s">
        <v>8</v>
      </c>
      <c r="E451" s="2">
        <f>0.293-0.02-0.005-0.008-0.011-0.012-0.075-0.023-0.089</f>
        <v>0.04999999999999993</v>
      </c>
      <c r="F451" s="45">
        <v>225000</v>
      </c>
      <c r="G451" s="36" t="s">
        <v>411</v>
      </c>
      <c r="H451" s="6"/>
      <c r="I451" s="6"/>
      <c r="J451" s="6"/>
    </row>
    <row r="452" spans="1:10" s="4" customFormat="1" ht="12.75">
      <c r="A452" s="2" t="s">
        <v>30</v>
      </c>
      <c r="B452" s="23" t="s">
        <v>42</v>
      </c>
      <c r="C452" s="2">
        <v>20</v>
      </c>
      <c r="D452" s="2" t="s">
        <v>8</v>
      </c>
      <c r="E452" s="2">
        <f>0.375-0.08+0.63-0.33-0.098-0.051-0.04-0.145-0.16</f>
        <v>0.101</v>
      </c>
      <c r="F452" s="45">
        <v>250000</v>
      </c>
      <c r="G452" s="36" t="s">
        <v>413</v>
      </c>
      <c r="H452" s="37"/>
      <c r="I452" s="37"/>
      <c r="J452" s="37"/>
    </row>
    <row r="453" spans="1:11" s="4" customFormat="1" ht="12.75">
      <c r="A453" s="2" t="s">
        <v>30</v>
      </c>
      <c r="B453" s="23" t="s">
        <v>118</v>
      </c>
      <c r="C453" s="2">
        <v>20</v>
      </c>
      <c r="D453" s="2" t="s">
        <v>8</v>
      </c>
      <c r="E453" s="2">
        <f>1.334-0.012-0.019-0.08-0.037-0.044</f>
        <v>1.1420000000000001</v>
      </c>
      <c r="F453" s="45">
        <v>205000</v>
      </c>
      <c r="G453" s="36" t="s">
        <v>411</v>
      </c>
      <c r="H453" s="6"/>
      <c r="I453" s="6"/>
      <c r="J453" s="6"/>
      <c r="K453" s="84"/>
    </row>
    <row r="454" spans="1:10" s="4" customFormat="1" ht="12.75">
      <c r="A454" s="2" t="s">
        <v>30</v>
      </c>
      <c r="B454" s="23" t="s">
        <v>66</v>
      </c>
      <c r="C454" s="2">
        <v>20</v>
      </c>
      <c r="D454" s="2" t="s">
        <v>8</v>
      </c>
      <c r="E454" s="2">
        <v>0.05</v>
      </c>
      <c r="F454" s="45">
        <v>540000</v>
      </c>
      <c r="G454" s="36" t="s">
        <v>504</v>
      </c>
      <c r="H454" s="37"/>
      <c r="I454" s="37"/>
      <c r="J454" s="37"/>
    </row>
    <row r="455" spans="1:10" ht="12.75">
      <c r="A455" s="2" t="s">
        <v>30</v>
      </c>
      <c r="B455" s="23" t="s">
        <v>185</v>
      </c>
      <c r="C455" s="2">
        <v>21</v>
      </c>
      <c r="D455" s="2" t="s">
        <v>8</v>
      </c>
      <c r="E455" s="2">
        <v>0.158</v>
      </c>
      <c r="F455" s="45">
        <v>1620000</v>
      </c>
      <c r="G455" s="36" t="s">
        <v>334</v>
      </c>
      <c r="H455" s="6"/>
      <c r="I455" s="6"/>
      <c r="J455" s="6"/>
    </row>
    <row r="456" spans="1:11" ht="12.75">
      <c r="A456" s="2" t="s">
        <v>30</v>
      </c>
      <c r="B456" s="27" t="s">
        <v>42</v>
      </c>
      <c r="C456" s="2">
        <v>25</v>
      </c>
      <c r="D456" s="2" t="s">
        <v>8</v>
      </c>
      <c r="E456" s="25">
        <f>1.164-0.014-0.3</f>
        <v>0.8499999999999999</v>
      </c>
      <c r="F456" s="45">
        <v>250000</v>
      </c>
      <c r="G456" s="36" t="s">
        <v>465</v>
      </c>
      <c r="H456" s="6"/>
      <c r="I456" s="46"/>
      <c r="J456" s="36"/>
      <c r="K456" s="9"/>
    </row>
    <row r="457" spans="1:10" ht="12.75">
      <c r="A457" s="2" t="s">
        <v>30</v>
      </c>
      <c r="B457" s="23" t="s">
        <v>19</v>
      </c>
      <c r="C457" s="2">
        <v>25</v>
      </c>
      <c r="D457" s="2" t="s">
        <v>8</v>
      </c>
      <c r="E457" s="2">
        <f>0.196-0.075-0.032</f>
        <v>0.08900000000000001</v>
      </c>
      <c r="F457" s="45">
        <v>720000</v>
      </c>
      <c r="G457" s="36" t="s">
        <v>417</v>
      </c>
      <c r="H457" s="6"/>
      <c r="I457" s="6"/>
      <c r="J457" s="6"/>
    </row>
    <row r="458" spans="1:10" ht="12.75">
      <c r="A458" s="2" t="s">
        <v>30</v>
      </c>
      <c r="B458" s="23" t="s">
        <v>98</v>
      </c>
      <c r="C458" s="2">
        <v>25</v>
      </c>
      <c r="D458" s="2" t="s">
        <v>8</v>
      </c>
      <c r="E458" s="25">
        <v>0.026</v>
      </c>
      <c r="F458" s="45">
        <v>1400000</v>
      </c>
      <c r="G458" s="36"/>
      <c r="H458" s="6"/>
      <c r="I458" s="46"/>
      <c r="J458" s="36"/>
    </row>
    <row r="459" spans="1:10" ht="12.75">
      <c r="A459" s="2" t="s">
        <v>30</v>
      </c>
      <c r="B459" s="23" t="s">
        <v>14</v>
      </c>
      <c r="C459" s="2">
        <v>28</v>
      </c>
      <c r="D459" s="2" t="s">
        <v>8</v>
      </c>
      <c r="E459" s="2">
        <f>0.22-0.075</f>
        <v>0.14500000000000002</v>
      </c>
      <c r="F459" s="45">
        <v>225000</v>
      </c>
      <c r="G459" s="36" t="s">
        <v>414</v>
      </c>
      <c r="H459" s="6"/>
      <c r="I459" s="6"/>
      <c r="J459" s="6"/>
    </row>
    <row r="460" spans="1:10" ht="12.75">
      <c r="A460" s="2" t="s">
        <v>30</v>
      </c>
      <c r="B460" s="27" t="s">
        <v>42</v>
      </c>
      <c r="C460" s="2">
        <v>30</v>
      </c>
      <c r="D460" s="2" t="s">
        <v>8</v>
      </c>
      <c r="E460" s="25">
        <f>1.09-0.021-0.023</f>
        <v>1.0460000000000003</v>
      </c>
      <c r="F460" s="45">
        <v>250000</v>
      </c>
      <c r="G460" s="36" t="s">
        <v>465</v>
      </c>
      <c r="H460" s="6"/>
      <c r="I460" s="46"/>
      <c r="J460" s="36"/>
    </row>
    <row r="461" spans="1:10" ht="12.75">
      <c r="A461" s="2" t="s">
        <v>30</v>
      </c>
      <c r="B461" s="23" t="s">
        <v>118</v>
      </c>
      <c r="C461" s="2">
        <v>30</v>
      </c>
      <c r="D461" s="2" t="s">
        <v>8</v>
      </c>
      <c r="E461" s="2">
        <f>0.836-0.022-0.196-0.15-0.047-0.067-0.028</f>
        <v>0.32599999999999985</v>
      </c>
      <c r="F461" s="45">
        <v>205000</v>
      </c>
      <c r="G461" s="36" t="s">
        <v>411</v>
      </c>
      <c r="H461" s="6"/>
      <c r="I461" s="6"/>
      <c r="J461" s="6"/>
    </row>
    <row r="462" spans="1:10" ht="12.75">
      <c r="A462" s="2" t="s">
        <v>30</v>
      </c>
      <c r="B462" s="23" t="s">
        <v>19</v>
      </c>
      <c r="C462" s="2">
        <v>35</v>
      </c>
      <c r="D462" s="2" t="s">
        <v>8</v>
      </c>
      <c r="E462" s="25">
        <f>(80-54.2)/1000</f>
        <v>0.025799999999999997</v>
      </c>
      <c r="F462" s="45">
        <v>720000</v>
      </c>
      <c r="G462" s="36" t="s">
        <v>417</v>
      </c>
      <c r="H462" s="6"/>
      <c r="I462" s="6"/>
      <c r="J462" s="6"/>
    </row>
    <row r="463" spans="1:10" s="4" customFormat="1" ht="12.75">
      <c r="A463" s="2" t="s">
        <v>30</v>
      </c>
      <c r="B463" s="23" t="s">
        <v>183</v>
      </c>
      <c r="C463" s="2">
        <v>36</v>
      </c>
      <c r="D463" s="2" t="s">
        <v>8</v>
      </c>
      <c r="E463" s="2">
        <v>0.107</v>
      </c>
      <c r="F463" s="45">
        <v>1800000</v>
      </c>
      <c r="G463" s="36" t="s">
        <v>333</v>
      </c>
      <c r="H463" s="6"/>
      <c r="I463" s="6"/>
      <c r="J463" s="6"/>
    </row>
    <row r="464" spans="1:10" s="4" customFormat="1" ht="12.75">
      <c r="A464" s="2" t="s">
        <v>30</v>
      </c>
      <c r="B464" s="23" t="s">
        <v>42</v>
      </c>
      <c r="C464" s="2">
        <v>40</v>
      </c>
      <c r="D464" s="2" t="s">
        <v>8</v>
      </c>
      <c r="E464" s="2">
        <f>0.23+1.802-0.018-0.11-0.066-0.074-0.112-0.11</f>
        <v>1.5419999999999998</v>
      </c>
      <c r="F464" s="45">
        <v>250000</v>
      </c>
      <c r="G464" s="36" t="s">
        <v>413</v>
      </c>
      <c r="H464" s="6"/>
      <c r="I464" s="6"/>
      <c r="J464" s="6"/>
    </row>
    <row r="465" spans="1:10" ht="12.75">
      <c r="A465" s="2" t="s">
        <v>30</v>
      </c>
      <c r="B465" s="23" t="s">
        <v>184</v>
      </c>
      <c r="C465" s="2">
        <v>40</v>
      </c>
      <c r="D465" s="2" t="s">
        <v>8</v>
      </c>
      <c r="E465" s="2">
        <v>0.044</v>
      </c>
      <c r="F465" s="45">
        <v>1800000</v>
      </c>
      <c r="G465" s="36" t="s">
        <v>334</v>
      </c>
      <c r="H465" s="6"/>
      <c r="I465" s="6"/>
      <c r="J465" s="6"/>
    </row>
    <row r="466" spans="1:10" s="4" customFormat="1" ht="12.75">
      <c r="A466" s="2" t="s">
        <v>30</v>
      </c>
      <c r="B466" s="23" t="s">
        <v>19</v>
      </c>
      <c r="C466" s="2">
        <v>40</v>
      </c>
      <c r="D466" s="2" t="s">
        <v>8</v>
      </c>
      <c r="E466" s="2">
        <v>0.5</v>
      </c>
      <c r="F466" s="45">
        <v>720000</v>
      </c>
      <c r="G466" s="36" t="s">
        <v>418</v>
      </c>
      <c r="H466" s="6"/>
      <c r="I466" s="6"/>
      <c r="J466" s="6"/>
    </row>
    <row r="467" spans="1:10" ht="12.75">
      <c r="A467" s="2" t="s">
        <v>30</v>
      </c>
      <c r="B467" s="23" t="s">
        <v>98</v>
      </c>
      <c r="C467" s="2">
        <v>40</v>
      </c>
      <c r="D467" s="2" t="s">
        <v>8</v>
      </c>
      <c r="E467" s="2">
        <f>0.444-0.031-0.099-0.062-0.079</f>
        <v>0.17300000000000004</v>
      </c>
      <c r="F467" s="45">
        <v>1350000</v>
      </c>
      <c r="G467" s="36" t="s">
        <v>550</v>
      </c>
      <c r="H467" s="6"/>
      <c r="I467" s="6"/>
      <c r="J467" s="6"/>
    </row>
    <row r="468" spans="1:10" s="4" customFormat="1" ht="12.75">
      <c r="A468" s="2" t="s">
        <v>30</v>
      </c>
      <c r="B468" s="23" t="s">
        <v>14</v>
      </c>
      <c r="C468" s="2">
        <v>45</v>
      </c>
      <c r="D468" s="2" t="s">
        <v>8</v>
      </c>
      <c r="E468" s="2">
        <f>1.004-0.073-0.269-0.063-0.108-0.032-0.037*2-0.065-0.037-0.04-0.041-0.055-0.032</f>
        <v>0.11499999999999996</v>
      </c>
      <c r="F468" s="45">
        <v>225000</v>
      </c>
      <c r="G468" s="36"/>
      <c r="H468" s="6"/>
      <c r="I468" s="6"/>
      <c r="J468" s="6"/>
    </row>
    <row r="469" spans="1:10" s="4" customFormat="1" ht="12.75">
      <c r="A469" s="2" t="s">
        <v>30</v>
      </c>
      <c r="B469" s="23" t="s">
        <v>19</v>
      </c>
      <c r="C469" s="2">
        <v>45</v>
      </c>
      <c r="D469" s="2" t="s">
        <v>8</v>
      </c>
      <c r="E469" s="2">
        <f>0.13+0.364</f>
        <v>0.494</v>
      </c>
      <c r="F469" s="45">
        <v>720000</v>
      </c>
      <c r="G469" s="36" t="s">
        <v>417</v>
      </c>
      <c r="H469" s="6"/>
      <c r="I469" s="6"/>
      <c r="J469" s="6"/>
    </row>
    <row r="470" spans="1:10" s="4" customFormat="1" ht="12.75">
      <c r="A470" s="2" t="s">
        <v>30</v>
      </c>
      <c r="B470" s="23" t="s">
        <v>23</v>
      </c>
      <c r="C470" s="2">
        <v>45</v>
      </c>
      <c r="D470" s="2" t="s">
        <v>8</v>
      </c>
      <c r="E470" s="2">
        <f>1.4-0.038</f>
        <v>1.3619999999999999</v>
      </c>
      <c r="F470" s="45">
        <v>250000</v>
      </c>
      <c r="G470" s="36" t="s">
        <v>153</v>
      </c>
      <c r="H470" s="6"/>
      <c r="I470" s="6"/>
      <c r="J470" s="6"/>
    </row>
    <row r="471" spans="1:10" ht="12.75">
      <c r="A471" s="2" t="s">
        <v>30</v>
      </c>
      <c r="B471" s="23" t="s">
        <v>24</v>
      </c>
      <c r="C471" s="2">
        <v>50</v>
      </c>
      <c r="D471" s="2" t="s">
        <v>8</v>
      </c>
      <c r="E471" s="2">
        <f>0.54+0.037+0.063-0.015</f>
        <v>0.6250000000000001</v>
      </c>
      <c r="F471" s="45">
        <v>250000</v>
      </c>
      <c r="G471" s="36" t="s">
        <v>556</v>
      </c>
      <c r="H471" s="6"/>
      <c r="I471" s="6"/>
      <c r="J471" s="6"/>
    </row>
    <row r="472" spans="1:10" ht="12.75">
      <c r="A472" s="2" t="s">
        <v>30</v>
      </c>
      <c r="B472" s="23" t="s">
        <v>42</v>
      </c>
      <c r="C472" s="2">
        <v>50</v>
      </c>
      <c r="D472" s="2" t="s">
        <v>8</v>
      </c>
      <c r="E472" s="2">
        <f>1.09-0.3-0.166-0.11-0.059-0.062</f>
        <v>0.393</v>
      </c>
      <c r="F472" s="45">
        <v>250000</v>
      </c>
      <c r="G472" s="36" t="s">
        <v>413</v>
      </c>
      <c r="H472" s="6" t="s">
        <v>281</v>
      </c>
      <c r="I472" s="6"/>
      <c r="J472" s="6"/>
    </row>
    <row r="473" spans="1:10" s="4" customFormat="1" ht="12.75">
      <c r="A473" s="2" t="s">
        <v>30</v>
      </c>
      <c r="B473" s="23" t="s">
        <v>118</v>
      </c>
      <c r="C473" s="2">
        <v>50</v>
      </c>
      <c r="D473" s="2" t="s">
        <v>8</v>
      </c>
      <c r="E473" s="2">
        <f>0.602-0.212-0.016</f>
        <v>0.374</v>
      </c>
      <c r="F473" s="45">
        <v>205000</v>
      </c>
      <c r="G473" s="36" t="s">
        <v>411</v>
      </c>
      <c r="H473" s="6"/>
      <c r="I473" s="6"/>
      <c r="J473" s="6"/>
    </row>
    <row r="474" spans="1:10" ht="12.75">
      <c r="A474" s="2" t="s">
        <v>30</v>
      </c>
      <c r="B474" s="23" t="s">
        <v>98</v>
      </c>
      <c r="C474" s="2">
        <v>55</v>
      </c>
      <c r="D474" s="2" t="s">
        <v>8</v>
      </c>
      <c r="E474" s="2">
        <v>0.042</v>
      </c>
      <c r="F474" s="45">
        <v>1450000</v>
      </c>
      <c r="G474" s="36" t="s">
        <v>416</v>
      </c>
      <c r="H474" s="6" t="s">
        <v>282</v>
      </c>
      <c r="I474" s="47"/>
      <c r="J474" s="39" t="s">
        <v>351</v>
      </c>
    </row>
    <row r="475" spans="1:10" ht="12.75">
      <c r="A475" s="2" t="s">
        <v>30</v>
      </c>
      <c r="B475" s="23" t="s">
        <v>98</v>
      </c>
      <c r="C475" s="2">
        <v>60</v>
      </c>
      <c r="D475" s="2" t="s">
        <v>8</v>
      </c>
      <c r="E475" s="2">
        <f>0.53-0.063-0.104-0.015</f>
        <v>0.34800000000000003</v>
      </c>
      <c r="F475" s="45">
        <v>1470000</v>
      </c>
      <c r="G475" s="36" t="s">
        <v>549</v>
      </c>
      <c r="H475" s="6"/>
      <c r="I475" s="6"/>
      <c r="J475" s="6"/>
    </row>
    <row r="476" spans="1:10" ht="12.75">
      <c r="A476" s="2" t="s">
        <v>30</v>
      </c>
      <c r="B476" s="21" t="s">
        <v>116</v>
      </c>
      <c r="C476" s="2">
        <v>60</v>
      </c>
      <c r="D476" s="2" t="s">
        <v>8</v>
      </c>
      <c r="E476" s="2">
        <f>6.21-0.134-0.2-0.132-0.122-0.05-0.2</f>
        <v>5.372</v>
      </c>
      <c r="F476" s="45">
        <v>80000</v>
      </c>
      <c r="G476" s="64"/>
      <c r="H476" s="6"/>
      <c r="I476" s="6"/>
      <c r="J476" s="6"/>
    </row>
    <row r="477" spans="1:10" ht="12.75">
      <c r="A477" s="2" t="s">
        <v>30</v>
      </c>
      <c r="B477" s="23" t="s">
        <v>14</v>
      </c>
      <c r="C477" s="2">
        <v>70</v>
      </c>
      <c r="D477" s="2" t="s">
        <v>8</v>
      </c>
      <c r="E477" s="2">
        <f>1.604+0.213-0.08-0.031-0.159-0.091-0.061-0.073-0.093-0.072-0.132</f>
        <v>1.0250000000000004</v>
      </c>
      <c r="F477" s="45">
        <v>200000</v>
      </c>
      <c r="G477" s="36" t="s">
        <v>411</v>
      </c>
      <c r="H477" s="6"/>
      <c r="I477" s="6"/>
      <c r="J477" s="6"/>
    </row>
    <row r="478" spans="1:10" s="4" customFormat="1" ht="12.75">
      <c r="A478" s="2" t="s">
        <v>30</v>
      </c>
      <c r="B478" s="21" t="s">
        <v>24</v>
      </c>
      <c r="C478" s="2">
        <v>70</v>
      </c>
      <c r="D478" s="2" t="s">
        <v>8</v>
      </c>
      <c r="E478" s="2">
        <f>0.296-0.098</f>
        <v>0.19799999999999998</v>
      </c>
      <c r="F478" s="45">
        <v>250000</v>
      </c>
      <c r="G478" s="36" t="s">
        <v>182</v>
      </c>
      <c r="H478" s="6"/>
      <c r="I478" s="6"/>
      <c r="J478" s="6"/>
    </row>
    <row r="479" spans="1:10" ht="12.75">
      <c r="A479" s="2" t="s">
        <v>30</v>
      </c>
      <c r="B479" s="23" t="s">
        <v>42</v>
      </c>
      <c r="C479" s="2">
        <v>70</v>
      </c>
      <c r="D479" s="2" t="s">
        <v>8</v>
      </c>
      <c r="E479" s="2">
        <f>(73+1250)/1000</f>
        <v>1.323</v>
      </c>
      <c r="F479" s="45">
        <v>245000</v>
      </c>
      <c r="G479" s="36" t="s">
        <v>465</v>
      </c>
      <c r="H479" s="6"/>
      <c r="I479" s="46"/>
      <c r="J479" s="36"/>
    </row>
    <row r="480" spans="1:10" s="73" customFormat="1" ht="12.75">
      <c r="A480" s="65" t="s">
        <v>30</v>
      </c>
      <c r="B480" s="81" t="s">
        <v>42</v>
      </c>
      <c r="C480" s="65">
        <v>70</v>
      </c>
      <c r="D480" s="65" t="s">
        <v>8</v>
      </c>
      <c r="E480" s="65">
        <f>(185)/1000</f>
        <v>0.185</v>
      </c>
      <c r="F480" s="67">
        <v>245000</v>
      </c>
      <c r="G480" s="68" t="s">
        <v>465</v>
      </c>
      <c r="H480" s="70"/>
      <c r="I480" s="71"/>
      <c r="J480" s="68"/>
    </row>
    <row r="481" spans="1:10" ht="12.75">
      <c r="A481" s="2" t="s">
        <v>30</v>
      </c>
      <c r="B481" s="23" t="s">
        <v>19</v>
      </c>
      <c r="C481" s="2">
        <v>70</v>
      </c>
      <c r="D481" s="2" t="s">
        <v>8</v>
      </c>
      <c r="E481" s="2">
        <f>0.179+0.174</f>
        <v>0.353</v>
      </c>
      <c r="F481" s="45">
        <v>720000</v>
      </c>
      <c r="G481" s="36" t="s">
        <v>419</v>
      </c>
      <c r="H481" s="6"/>
      <c r="I481" s="6"/>
      <c r="J481" s="6"/>
    </row>
    <row r="482" spans="1:10" ht="12.75">
      <c r="A482" s="2" t="s">
        <v>30</v>
      </c>
      <c r="B482" s="21" t="s">
        <v>69</v>
      </c>
      <c r="C482" s="2">
        <v>70</v>
      </c>
      <c r="D482" s="2" t="s">
        <v>8</v>
      </c>
      <c r="E482" s="2">
        <f>0.045</f>
        <v>0.045</v>
      </c>
      <c r="F482" s="45">
        <v>115000</v>
      </c>
      <c r="G482" s="36"/>
      <c r="H482" s="6"/>
      <c r="I482" s="6"/>
      <c r="J482" s="6"/>
    </row>
    <row r="483" spans="1:10" ht="12.75">
      <c r="A483" s="2" t="s">
        <v>30</v>
      </c>
      <c r="B483" s="23" t="s">
        <v>356</v>
      </c>
      <c r="C483" s="2">
        <v>70</v>
      </c>
      <c r="D483" s="2" t="s">
        <v>8</v>
      </c>
      <c r="E483" s="2">
        <f>0.24+0.82+0.89</f>
        <v>1.9500000000000002</v>
      </c>
      <c r="F483" s="45">
        <v>215000</v>
      </c>
      <c r="G483" s="36" t="s">
        <v>430</v>
      </c>
      <c r="H483" s="6"/>
      <c r="I483" s="6"/>
      <c r="J483" s="6"/>
    </row>
    <row r="484" spans="1:10" ht="12.75">
      <c r="A484" s="2" t="s">
        <v>30</v>
      </c>
      <c r="B484" s="23" t="s">
        <v>23</v>
      </c>
      <c r="C484" s="2">
        <v>70</v>
      </c>
      <c r="D484" s="2" t="s">
        <v>8</v>
      </c>
      <c r="E484" s="2">
        <v>0.078</v>
      </c>
      <c r="F484" s="45">
        <v>280000</v>
      </c>
      <c r="G484" s="36"/>
      <c r="H484" s="6"/>
      <c r="I484" s="46"/>
      <c r="J484" s="39"/>
    </row>
    <row r="485" spans="1:10" ht="12.75">
      <c r="A485" s="2" t="s">
        <v>30</v>
      </c>
      <c r="B485" s="23" t="s">
        <v>66</v>
      </c>
      <c r="C485" s="2">
        <v>70</v>
      </c>
      <c r="D485" s="2" t="s">
        <v>8</v>
      </c>
      <c r="E485" s="2">
        <v>0.085</v>
      </c>
      <c r="F485" s="45">
        <v>540000</v>
      </c>
      <c r="G485" s="36" t="s">
        <v>504</v>
      </c>
      <c r="H485" s="6" t="s">
        <v>302</v>
      </c>
      <c r="I485" s="46">
        <v>42766</v>
      </c>
      <c r="J485" s="39" t="s">
        <v>501</v>
      </c>
    </row>
    <row r="486" spans="1:10" ht="12.75">
      <c r="A486" s="2" t="s">
        <v>30</v>
      </c>
      <c r="B486" s="21" t="s">
        <v>14</v>
      </c>
      <c r="C486" s="2">
        <v>80</v>
      </c>
      <c r="D486" s="2" t="s">
        <v>8</v>
      </c>
      <c r="E486" s="2">
        <v>0.36</v>
      </c>
      <c r="F486" s="45">
        <v>242000</v>
      </c>
      <c r="G486" s="36"/>
      <c r="H486" s="6"/>
      <c r="I486" s="6"/>
      <c r="J486" s="6"/>
    </row>
    <row r="487" spans="1:10" ht="12.75">
      <c r="A487" s="2" t="s">
        <v>30</v>
      </c>
      <c r="B487" s="27" t="s">
        <v>42</v>
      </c>
      <c r="C487" s="2">
        <v>80</v>
      </c>
      <c r="D487" s="2" t="s">
        <v>8</v>
      </c>
      <c r="E487" s="25">
        <f>1.485+0.325-0.118</f>
        <v>1.6920000000000002</v>
      </c>
      <c r="F487" s="45">
        <v>245000</v>
      </c>
      <c r="G487" s="36" t="s">
        <v>508</v>
      </c>
      <c r="H487" s="6"/>
      <c r="I487" s="6"/>
      <c r="J487" s="6"/>
    </row>
    <row r="488" spans="1:10" ht="12.75">
      <c r="A488" s="2" t="s">
        <v>30</v>
      </c>
      <c r="B488" s="21" t="s">
        <v>118</v>
      </c>
      <c r="C488" s="2">
        <v>80</v>
      </c>
      <c r="D488" s="2" t="s">
        <v>8</v>
      </c>
      <c r="E488" s="2">
        <f>0.436-0.236-0.078-0.05</f>
        <v>0.07200000000000001</v>
      </c>
      <c r="F488" s="45">
        <v>205000</v>
      </c>
      <c r="G488" s="36" t="s">
        <v>411</v>
      </c>
      <c r="H488" s="6"/>
      <c r="I488" s="6"/>
      <c r="J488" s="6"/>
    </row>
    <row r="489" spans="1:10" s="4" customFormat="1" ht="12.75">
      <c r="A489" s="2" t="s">
        <v>30</v>
      </c>
      <c r="B489" s="23" t="s">
        <v>66</v>
      </c>
      <c r="C489" s="2">
        <v>80</v>
      </c>
      <c r="D489" s="2" t="s">
        <v>8</v>
      </c>
      <c r="E489" s="2">
        <v>0.048</v>
      </c>
      <c r="F489" s="45">
        <v>540000</v>
      </c>
      <c r="G489" s="36" t="s">
        <v>504</v>
      </c>
      <c r="H489" s="6" t="s">
        <v>289</v>
      </c>
      <c r="I489" s="78">
        <v>43136</v>
      </c>
      <c r="J489" s="6"/>
    </row>
    <row r="490" spans="1:10" s="4" customFormat="1" ht="12.75">
      <c r="A490" s="2" t="s">
        <v>30</v>
      </c>
      <c r="B490" s="23" t="s">
        <v>98</v>
      </c>
      <c r="C490" s="2">
        <v>85</v>
      </c>
      <c r="D490" s="2" t="s">
        <v>8</v>
      </c>
      <c r="E490" s="2">
        <v>0.186</v>
      </c>
      <c r="F490" s="45">
        <v>1450000</v>
      </c>
      <c r="G490" s="36" t="s">
        <v>416</v>
      </c>
      <c r="H490" s="5" t="s">
        <v>580</v>
      </c>
      <c r="I490" s="6"/>
      <c r="J490" s="6" t="s">
        <v>581</v>
      </c>
    </row>
    <row r="491" spans="1:10" ht="12.75">
      <c r="A491" s="2" t="s">
        <v>30</v>
      </c>
      <c r="B491" s="23" t="s">
        <v>23</v>
      </c>
      <c r="C491" s="2">
        <v>85</v>
      </c>
      <c r="D491" s="2" t="s">
        <v>8</v>
      </c>
      <c r="E491" s="2">
        <v>0.108</v>
      </c>
      <c r="F491" s="45">
        <v>280000</v>
      </c>
      <c r="G491" s="36"/>
      <c r="H491" s="6"/>
      <c r="I491" s="46"/>
      <c r="J491" s="6"/>
    </row>
    <row r="492" spans="1:10" ht="12.75">
      <c r="A492" s="2" t="s">
        <v>30</v>
      </c>
      <c r="B492" s="23" t="s">
        <v>66</v>
      </c>
      <c r="C492" s="2">
        <v>85</v>
      </c>
      <c r="D492" s="2" t="s">
        <v>8</v>
      </c>
      <c r="E492" s="2">
        <v>0.094</v>
      </c>
      <c r="F492" s="45">
        <v>540000</v>
      </c>
      <c r="G492" s="36" t="s">
        <v>504</v>
      </c>
      <c r="H492" s="6" t="s">
        <v>302</v>
      </c>
      <c r="I492" s="46">
        <v>42766</v>
      </c>
      <c r="J492" s="6" t="s">
        <v>503</v>
      </c>
    </row>
    <row r="493" spans="1:10" ht="12.75">
      <c r="A493" s="2" t="s">
        <v>30</v>
      </c>
      <c r="B493" s="21" t="s">
        <v>14</v>
      </c>
      <c r="C493" s="2">
        <v>90</v>
      </c>
      <c r="D493" s="2" t="s">
        <v>8</v>
      </c>
      <c r="E493" s="2">
        <f>1.14-0.254-0.072-0.015</f>
        <v>0.7989999999999999</v>
      </c>
      <c r="F493" s="45">
        <v>200000</v>
      </c>
      <c r="G493" s="36"/>
      <c r="H493" s="4"/>
      <c r="I493" s="4"/>
      <c r="J493" s="4"/>
    </row>
    <row r="494" spans="1:10" s="4" customFormat="1" ht="12.75">
      <c r="A494" s="2" t="s">
        <v>30</v>
      </c>
      <c r="B494" s="23" t="s">
        <v>42</v>
      </c>
      <c r="C494" s="2">
        <v>90</v>
      </c>
      <c r="D494" s="2" t="s">
        <v>8</v>
      </c>
      <c r="E494" s="2">
        <f>(1.31-0.052)+0.086+0.11</f>
        <v>1.4540000000000002</v>
      </c>
      <c r="F494" s="45">
        <v>245000</v>
      </c>
      <c r="G494" s="36" t="s">
        <v>420</v>
      </c>
      <c r="H494" s="6"/>
      <c r="I494" s="6"/>
      <c r="J494" s="6"/>
    </row>
    <row r="495" spans="1:10" ht="12.75">
      <c r="A495" s="2" t="s">
        <v>30</v>
      </c>
      <c r="B495" s="23" t="s">
        <v>356</v>
      </c>
      <c r="C495" s="2">
        <v>90</v>
      </c>
      <c r="D495" s="2" t="s">
        <v>8</v>
      </c>
      <c r="E495" s="2">
        <f>1.272-0.101</f>
        <v>1.171</v>
      </c>
      <c r="F495" s="45">
        <v>200000</v>
      </c>
      <c r="G495" s="36" t="s">
        <v>421</v>
      </c>
      <c r="H495" s="6"/>
      <c r="I495" s="6"/>
      <c r="J495" s="6"/>
    </row>
    <row r="496" spans="1:10" ht="12.75">
      <c r="A496" s="2" t="s">
        <v>30</v>
      </c>
      <c r="B496" s="23" t="s">
        <v>66</v>
      </c>
      <c r="C496" s="2">
        <v>95</v>
      </c>
      <c r="D496" s="2" t="s">
        <v>8</v>
      </c>
      <c r="E496" s="2">
        <v>0.118</v>
      </c>
      <c r="F496" s="45">
        <v>540000</v>
      </c>
      <c r="G496" s="36" t="s">
        <v>504</v>
      </c>
      <c r="H496" s="6" t="s">
        <v>302</v>
      </c>
      <c r="I496" s="46">
        <v>42766</v>
      </c>
      <c r="J496" s="6" t="s">
        <v>502</v>
      </c>
    </row>
    <row r="497" spans="1:10" s="4" customFormat="1" ht="12.75">
      <c r="A497" s="2" t="s">
        <v>30</v>
      </c>
      <c r="B497" s="23" t="s">
        <v>42</v>
      </c>
      <c r="C497" s="2">
        <v>100</v>
      </c>
      <c r="D497" s="2" t="s">
        <v>8</v>
      </c>
      <c r="E497" s="2">
        <f>1.258-0.19-0.108-0.014-0.19-0.325-0.178-0.014-0.039</f>
        <v>0.19999999999999998</v>
      </c>
      <c r="F497" s="45">
        <v>235000</v>
      </c>
      <c r="G497" s="36"/>
      <c r="H497" s="6"/>
      <c r="I497" s="6"/>
      <c r="J497" s="6"/>
    </row>
    <row r="498" spans="1:10" s="4" customFormat="1" ht="12.75">
      <c r="A498" s="2" t="s">
        <v>30</v>
      </c>
      <c r="B498" s="23" t="s">
        <v>19</v>
      </c>
      <c r="C498" s="2">
        <v>100</v>
      </c>
      <c r="D498" s="2" t="s">
        <v>8</v>
      </c>
      <c r="E498" s="2">
        <f>0.075</f>
        <v>0.075</v>
      </c>
      <c r="F498" s="45">
        <v>720000</v>
      </c>
      <c r="G498" s="36" t="s">
        <v>257</v>
      </c>
      <c r="H498" s="6"/>
      <c r="I498" s="6"/>
      <c r="J498" s="6"/>
    </row>
    <row r="499" spans="1:10" ht="12.75">
      <c r="A499" s="2" t="s">
        <v>30</v>
      </c>
      <c r="B499" s="21" t="s">
        <v>23</v>
      </c>
      <c r="C499" s="2">
        <v>100</v>
      </c>
      <c r="D499" s="2" t="s">
        <v>8</v>
      </c>
      <c r="E499" s="2">
        <v>0.085</v>
      </c>
      <c r="F499" s="45">
        <v>280000</v>
      </c>
      <c r="G499" s="36"/>
      <c r="H499" s="6"/>
      <c r="I499" s="6"/>
      <c r="J499" s="6"/>
    </row>
    <row r="500" spans="1:10" ht="12.75">
      <c r="A500" s="2" t="s">
        <v>30</v>
      </c>
      <c r="B500" s="23" t="s">
        <v>221</v>
      </c>
      <c r="C500" s="2">
        <v>105</v>
      </c>
      <c r="D500" s="2" t="s">
        <v>8</v>
      </c>
      <c r="E500" s="2">
        <f>0.208+0.102</f>
        <v>0.31</v>
      </c>
      <c r="F500" s="45">
        <v>240000</v>
      </c>
      <c r="G500" s="36"/>
      <c r="H500" s="6"/>
      <c r="I500" s="6"/>
      <c r="J500" s="6"/>
    </row>
    <row r="501" spans="1:10" s="4" customFormat="1" ht="12.75">
      <c r="A501" s="2" t="s">
        <v>30</v>
      </c>
      <c r="B501" s="23" t="s">
        <v>66</v>
      </c>
      <c r="C501" s="2">
        <v>110</v>
      </c>
      <c r="D501" s="2" t="s">
        <v>8</v>
      </c>
      <c r="E501" s="2">
        <f>0.286-0.081-0.142</f>
        <v>0.06299999999999997</v>
      </c>
      <c r="F501" s="45">
        <v>540000</v>
      </c>
      <c r="G501" s="36" t="s">
        <v>504</v>
      </c>
      <c r="H501" s="6"/>
      <c r="I501" s="6"/>
      <c r="J501" s="6"/>
    </row>
    <row r="502" spans="1:10" s="4" customFormat="1" ht="12.75">
      <c r="A502" s="2" t="s">
        <v>30</v>
      </c>
      <c r="B502" s="23" t="s">
        <v>14</v>
      </c>
      <c r="C502" s="2">
        <v>120</v>
      </c>
      <c r="D502" s="2" t="s">
        <v>8</v>
      </c>
      <c r="E502" s="2">
        <f>0.228-0.089</f>
        <v>0.139</v>
      </c>
      <c r="F502" s="45">
        <v>200000</v>
      </c>
      <c r="G502" s="36" t="s">
        <v>411</v>
      </c>
      <c r="H502" s="6"/>
      <c r="I502" s="6"/>
      <c r="J502" s="6"/>
    </row>
    <row r="503" spans="1:10" ht="12.75">
      <c r="A503" s="2" t="s">
        <v>30</v>
      </c>
      <c r="B503" s="23" t="s">
        <v>42</v>
      </c>
      <c r="C503" s="2">
        <v>140</v>
      </c>
      <c r="D503" s="2" t="s">
        <v>8</v>
      </c>
      <c r="E503" s="2">
        <f>0.376-0.035-0.067</f>
        <v>0.27399999999999997</v>
      </c>
      <c r="F503" s="45">
        <v>230000</v>
      </c>
      <c r="G503" s="36" t="s">
        <v>459</v>
      </c>
      <c r="H503" s="6"/>
      <c r="I503" s="6"/>
      <c r="J503" s="6"/>
    </row>
    <row r="504" spans="1:10" s="4" customFormat="1" ht="12.75">
      <c r="A504" s="2" t="s">
        <v>30</v>
      </c>
      <c r="B504" s="23" t="s">
        <v>356</v>
      </c>
      <c r="C504" s="2">
        <v>250</v>
      </c>
      <c r="D504" s="2" t="s">
        <v>8</v>
      </c>
      <c r="E504" s="2">
        <v>1.87</v>
      </c>
      <c r="F504" s="45">
        <v>200000</v>
      </c>
      <c r="G504" s="36" t="s">
        <v>422</v>
      </c>
      <c r="H504" s="6"/>
      <c r="I504" s="6"/>
      <c r="J504" s="6"/>
    </row>
    <row r="505" spans="1:10" s="4" customFormat="1" ht="12.75">
      <c r="A505" s="2" t="s">
        <v>30</v>
      </c>
      <c r="B505" s="21" t="s">
        <v>187</v>
      </c>
      <c r="C505" s="32" t="s">
        <v>188</v>
      </c>
      <c r="D505" s="2" t="s">
        <v>8</v>
      </c>
      <c r="E505" s="2">
        <v>0.044</v>
      </c>
      <c r="F505" s="45">
        <v>700000</v>
      </c>
      <c r="G505" s="36"/>
      <c r="H505" s="6"/>
      <c r="I505" s="6"/>
      <c r="J505" s="6"/>
    </row>
    <row r="506" spans="1:10" s="4" customFormat="1" ht="12.75">
      <c r="A506" s="2" t="s">
        <v>30</v>
      </c>
      <c r="B506" s="21" t="s">
        <v>187</v>
      </c>
      <c r="C506" s="32" t="s">
        <v>186</v>
      </c>
      <c r="D506" s="2" t="s">
        <v>8</v>
      </c>
      <c r="E506" s="2">
        <f>0.084-0.024</f>
        <v>0.060000000000000005</v>
      </c>
      <c r="F506" s="45">
        <v>700000</v>
      </c>
      <c r="G506" s="36"/>
      <c r="H506" s="6"/>
      <c r="I506" s="6"/>
      <c r="J506" s="6"/>
    </row>
    <row r="507" spans="1:10" ht="12.75">
      <c r="A507" s="2" t="s">
        <v>29</v>
      </c>
      <c r="B507" s="20" t="s">
        <v>61</v>
      </c>
      <c r="C507" s="2">
        <v>4.5</v>
      </c>
      <c r="D507" s="2" t="s">
        <v>8</v>
      </c>
      <c r="E507" s="2">
        <f>0.471-0.1-0.052-0.093</f>
        <v>0.226</v>
      </c>
      <c r="F507" s="45">
        <v>125000</v>
      </c>
      <c r="G507" s="36" t="s">
        <v>401</v>
      </c>
      <c r="H507" s="6"/>
      <c r="I507" s="6"/>
      <c r="J507" s="6"/>
    </row>
    <row r="508" spans="1:10" s="4" customFormat="1" ht="12.75">
      <c r="A508" s="2" t="s">
        <v>29</v>
      </c>
      <c r="B508" s="20" t="s">
        <v>61</v>
      </c>
      <c r="C508" s="2">
        <v>5.5</v>
      </c>
      <c r="D508" s="2" t="s">
        <v>8</v>
      </c>
      <c r="E508" s="2">
        <f>1.125-0.05-0.1-0.262-0.115-0.2</f>
        <v>0.39799999999999996</v>
      </c>
      <c r="F508" s="45">
        <v>95000</v>
      </c>
      <c r="G508" s="36"/>
      <c r="H508" s="6"/>
      <c r="I508" s="6"/>
      <c r="J508" s="6"/>
    </row>
    <row r="509" spans="1:10" s="4" customFormat="1" ht="12.75">
      <c r="A509" s="2" t="s">
        <v>29</v>
      </c>
      <c r="B509" s="20" t="s">
        <v>61</v>
      </c>
      <c r="C509" s="2">
        <v>6</v>
      </c>
      <c r="D509" s="2" t="s">
        <v>8</v>
      </c>
      <c r="E509" s="2">
        <f>2.005-0.03-0.047-0.105-0.004-0.07</f>
        <v>1.7489999999999999</v>
      </c>
      <c r="F509" s="45">
        <v>95000</v>
      </c>
      <c r="G509" s="36"/>
      <c r="H509" s="6"/>
      <c r="I509" s="6"/>
      <c r="J509" s="6"/>
    </row>
    <row r="510" spans="1:10" ht="12.75">
      <c r="A510" s="2" t="s">
        <v>29</v>
      </c>
      <c r="B510" s="20" t="s">
        <v>61</v>
      </c>
      <c r="C510" s="2">
        <v>6.5</v>
      </c>
      <c r="D510" s="2" t="s">
        <v>8</v>
      </c>
      <c r="E510" s="2">
        <f>0.24-0.02-0.032</f>
        <v>0.188</v>
      </c>
      <c r="F510" s="45">
        <v>95000</v>
      </c>
      <c r="G510" s="36"/>
      <c r="H510" s="10"/>
      <c r="I510" s="5"/>
      <c r="J510" s="5"/>
    </row>
    <row r="511" spans="1:10" s="4" customFormat="1" ht="12.75">
      <c r="A511" s="2" t="s">
        <v>29</v>
      </c>
      <c r="B511" s="20" t="s">
        <v>61</v>
      </c>
      <c r="C511" s="2">
        <v>7</v>
      </c>
      <c r="D511" s="2" t="s">
        <v>8</v>
      </c>
      <c r="E511" s="2">
        <f>1.393-0.101-0.162</f>
        <v>1.1300000000000001</v>
      </c>
      <c r="F511" s="45">
        <v>78000</v>
      </c>
      <c r="G511" s="36"/>
      <c r="H511" s="6"/>
      <c r="I511" s="6"/>
      <c r="J511" s="6"/>
    </row>
    <row r="512" spans="1:10" s="4" customFormat="1" ht="12.75">
      <c r="A512" s="2" t="s">
        <v>29</v>
      </c>
      <c r="B512" s="27" t="s">
        <v>107</v>
      </c>
      <c r="C512" s="2">
        <v>7.5</v>
      </c>
      <c r="D512" s="2" t="s">
        <v>8</v>
      </c>
      <c r="E512" s="2">
        <f>0.633-0.015</f>
        <v>0.618</v>
      </c>
      <c r="F512" s="45">
        <v>150000</v>
      </c>
      <c r="G512" s="36" t="s">
        <v>287</v>
      </c>
      <c r="H512" s="6"/>
      <c r="I512" s="6"/>
      <c r="J512" s="6"/>
    </row>
    <row r="513" spans="1:10" s="4" customFormat="1" ht="12.75">
      <c r="A513" s="2" t="s">
        <v>29</v>
      </c>
      <c r="B513" s="27" t="s">
        <v>44</v>
      </c>
      <c r="C513" s="2">
        <v>7.5</v>
      </c>
      <c r="D513" s="2" t="s">
        <v>8</v>
      </c>
      <c r="E513" s="2">
        <f>0.74+0.068-0.02-0.05-0.007-0.03-0.02-0.002-0.15-0.005-0.099-0.011-0.025-0.04-0.03-0.1-0.1-0.006-0.01-0.01-0.007-0.014</f>
        <v>0.07199999999999994</v>
      </c>
      <c r="F513" s="45">
        <v>200000</v>
      </c>
      <c r="G513" s="36" t="s">
        <v>45</v>
      </c>
      <c r="H513" s="6"/>
      <c r="I513" s="6"/>
      <c r="J513" s="6"/>
    </row>
    <row r="514" spans="1:10" s="4" customFormat="1" ht="12.75">
      <c r="A514" s="2" t="s">
        <v>29</v>
      </c>
      <c r="B514" s="27" t="s">
        <v>107</v>
      </c>
      <c r="C514" s="2">
        <v>8</v>
      </c>
      <c r="D514" s="2" t="s">
        <v>8</v>
      </c>
      <c r="E514" s="2">
        <f>1-0.039-0.113-0.113</f>
        <v>0.735</v>
      </c>
      <c r="F514" s="45">
        <v>150000</v>
      </c>
      <c r="G514" s="36" t="s">
        <v>189</v>
      </c>
      <c r="H514" s="6"/>
      <c r="I514" s="6"/>
      <c r="J514" s="6"/>
    </row>
    <row r="515" spans="1:10" s="4" customFormat="1" ht="12.75">
      <c r="A515" s="2" t="s">
        <v>29</v>
      </c>
      <c r="B515" s="27" t="s">
        <v>107</v>
      </c>
      <c r="C515" s="2">
        <v>8.5</v>
      </c>
      <c r="D515" s="2" t="s">
        <v>8</v>
      </c>
      <c r="E515" s="2">
        <f>0.345-0.002</f>
        <v>0.34299999999999997</v>
      </c>
      <c r="F515" s="45">
        <v>150000</v>
      </c>
      <c r="G515" s="36" t="s">
        <v>287</v>
      </c>
      <c r="H515" s="10"/>
      <c r="I515" s="5"/>
      <c r="J515" s="5"/>
    </row>
    <row r="516" spans="1:10" s="4" customFormat="1" ht="12.75">
      <c r="A516" s="2" t="s">
        <v>29</v>
      </c>
      <c r="B516" s="27" t="s">
        <v>107</v>
      </c>
      <c r="C516" s="2">
        <v>9.5</v>
      </c>
      <c r="D516" s="2" t="s">
        <v>8</v>
      </c>
      <c r="E516" s="2">
        <f>0.228+0.222-0.13-0.036</f>
        <v>0.28400000000000003</v>
      </c>
      <c r="F516" s="45">
        <v>150000</v>
      </c>
      <c r="G516" s="36" t="s">
        <v>161</v>
      </c>
      <c r="H516" s="6"/>
      <c r="I516" s="6"/>
      <c r="J516" s="6"/>
    </row>
    <row r="517" spans="1:10" s="4" customFormat="1" ht="12.75">
      <c r="A517" s="2" t="s">
        <v>29</v>
      </c>
      <c r="B517" s="27" t="s">
        <v>107</v>
      </c>
      <c r="C517" s="2">
        <v>11.5</v>
      </c>
      <c r="D517" s="2" t="s">
        <v>8</v>
      </c>
      <c r="E517" s="2">
        <v>0.33</v>
      </c>
      <c r="F517" s="45">
        <v>150000</v>
      </c>
      <c r="G517" s="36" t="s">
        <v>287</v>
      </c>
      <c r="H517" s="6"/>
      <c r="I517" s="6"/>
      <c r="J517" s="6"/>
    </row>
    <row r="518" spans="1:10" s="4" customFormat="1" ht="12.75">
      <c r="A518" s="2" t="s">
        <v>29</v>
      </c>
      <c r="B518" s="27" t="s">
        <v>1</v>
      </c>
      <c r="C518" s="2">
        <v>14</v>
      </c>
      <c r="D518" s="2" t="s">
        <v>8</v>
      </c>
      <c r="E518" s="2">
        <f>0.044+1.268-0.017-0.03-0.052-0.04-0.24-0.054-0.277-0.094</f>
        <v>0.508</v>
      </c>
      <c r="F518" s="45">
        <v>153000</v>
      </c>
      <c r="G518" s="36" t="s">
        <v>117</v>
      </c>
      <c r="H518" s="6"/>
      <c r="I518" s="6"/>
      <c r="J518" s="6"/>
    </row>
    <row r="519" spans="1:10" s="4" customFormat="1" ht="12.75">
      <c r="A519" s="2" t="s">
        <v>29</v>
      </c>
      <c r="B519" s="27" t="s">
        <v>145</v>
      </c>
      <c r="C519" s="2">
        <v>16</v>
      </c>
      <c r="D519" s="2" t="s">
        <v>8</v>
      </c>
      <c r="E519" s="2">
        <f>0.7-0.01</f>
        <v>0.69</v>
      </c>
      <c r="F519" s="45">
        <v>165000</v>
      </c>
      <c r="G519" s="36" t="s">
        <v>291</v>
      </c>
      <c r="H519" s="6"/>
      <c r="I519" s="6"/>
      <c r="J519" s="6"/>
    </row>
    <row r="520" spans="1:10" s="4" customFormat="1" ht="12.75">
      <c r="A520" s="2" t="s">
        <v>29</v>
      </c>
      <c r="B520" s="27" t="s">
        <v>1</v>
      </c>
      <c r="C520" s="2">
        <v>16</v>
      </c>
      <c r="D520" s="2" t="s">
        <v>8</v>
      </c>
      <c r="E520" s="2">
        <f>0.132-0.07</f>
        <v>0.062</v>
      </c>
      <c r="F520" s="45">
        <v>153000</v>
      </c>
      <c r="G520" s="36" t="s">
        <v>315</v>
      </c>
      <c r="H520" s="6" t="s">
        <v>281</v>
      </c>
      <c r="I520" s="6"/>
      <c r="J520" s="6"/>
    </row>
    <row r="521" spans="1:10" s="4" customFormat="1" ht="12.75">
      <c r="A521" s="2" t="s">
        <v>29</v>
      </c>
      <c r="B521" s="22" t="s">
        <v>37</v>
      </c>
      <c r="C521" s="2">
        <v>18</v>
      </c>
      <c r="D521" s="2" t="s">
        <v>8</v>
      </c>
      <c r="E521" s="2">
        <f>1.1-0.107-0.044</f>
        <v>0.9490000000000001</v>
      </c>
      <c r="F521" s="45">
        <v>194000</v>
      </c>
      <c r="G521" s="36" t="s">
        <v>137</v>
      </c>
      <c r="H521" s="6"/>
      <c r="I521" s="6"/>
      <c r="J521" s="6"/>
    </row>
    <row r="522" spans="1:248" s="4" customFormat="1" ht="12.75">
      <c r="A522" s="2" t="s">
        <v>29</v>
      </c>
      <c r="B522" s="27" t="s">
        <v>145</v>
      </c>
      <c r="C522" s="2">
        <v>18</v>
      </c>
      <c r="D522" s="2" t="s">
        <v>8</v>
      </c>
      <c r="E522" s="2">
        <v>0.4</v>
      </c>
      <c r="F522" s="45">
        <v>165000</v>
      </c>
      <c r="G522" s="36" t="s">
        <v>291</v>
      </c>
      <c r="H522" s="6"/>
      <c r="I522" s="6"/>
      <c r="J522" s="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</row>
    <row r="523" spans="1:245" s="4" customFormat="1" ht="12.75">
      <c r="A523" s="2" t="s">
        <v>29</v>
      </c>
      <c r="B523" s="19" t="s">
        <v>11</v>
      </c>
      <c r="C523" s="2">
        <v>20</v>
      </c>
      <c r="D523" s="2" t="s">
        <v>8</v>
      </c>
      <c r="E523" s="25">
        <f>0.287-0.032</f>
        <v>0.255</v>
      </c>
      <c r="F523" s="45">
        <v>45000</v>
      </c>
      <c r="G523" s="36"/>
      <c r="H523" s="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</row>
    <row r="524" spans="1:10" s="4" customFormat="1" ht="12.75">
      <c r="A524" s="2" t="s">
        <v>29</v>
      </c>
      <c r="B524" s="23" t="s">
        <v>124</v>
      </c>
      <c r="C524" s="2">
        <v>20</v>
      </c>
      <c r="D524" s="2" t="s">
        <v>8</v>
      </c>
      <c r="E524" s="25">
        <f>0.36-0.125-0.012-0.035</f>
        <v>0.18799999999999997</v>
      </c>
      <c r="F524" s="45">
        <v>125000</v>
      </c>
      <c r="G524" s="36" t="s">
        <v>134</v>
      </c>
      <c r="H524" s="6"/>
      <c r="I524" s="6"/>
      <c r="J524" s="6"/>
    </row>
    <row r="525" spans="1:10" ht="12.75">
      <c r="A525" s="2" t="s">
        <v>29</v>
      </c>
      <c r="B525" s="23" t="s">
        <v>80</v>
      </c>
      <c r="C525" s="2">
        <v>20</v>
      </c>
      <c r="D525" s="2" t="s">
        <v>8</v>
      </c>
      <c r="E525" s="2">
        <f>2.172-0.25-0.103-0.179</f>
        <v>1.6400000000000001</v>
      </c>
      <c r="F525" s="45">
        <v>261000</v>
      </c>
      <c r="G525" s="36" t="s">
        <v>288</v>
      </c>
      <c r="H525" s="6"/>
      <c r="I525" s="6"/>
      <c r="J525" s="6"/>
    </row>
    <row r="526" spans="1:10" s="4" customFormat="1" ht="12.75">
      <c r="A526" s="2" t="s">
        <v>29</v>
      </c>
      <c r="B526" s="22" t="s">
        <v>37</v>
      </c>
      <c r="C526" s="2">
        <v>22</v>
      </c>
      <c r="D526" s="2" t="s">
        <v>8</v>
      </c>
      <c r="E526" s="2">
        <f>0.85-0.15-0.2</f>
        <v>0.49999999999999994</v>
      </c>
      <c r="F526" s="45">
        <v>182000</v>
      </c>
      <c r="G526" s="36" t="s">
        <v>137</v>
      </c>
      <c r="H526" s="6"/>
      <c r="I526" s="6"/>
      <c r="J526" s="6"/>
    </row>
    <row r="527" spans="1:10" s="4" customFormat="1" ht="12.75">
      <c r="A527" s="2" t="s">
        <v>29</v>
      </c>
      <c r="B527" s="27" t="s">
        <v>1</v>
      </c>
      <c r="C527" s="2">
        <v>28</v>
      </c>
      <c r="D527" s="2" t="s">
        <v>8</v>
      </c>
      <c r="E527" s="2">
        <f>0.135+0.196-0.009</f>
        <v>0.322</v>
      </c>
      <c r="F527" s="45">
        <v>135000</v>
      </c>
      <c r="G527" s="36" t="s">
        <v>484</v>
      </c>
      <c r="H527" s="6"/>
      <c r="I527" s="6"/>
      <c r="J527" s="6"/>
    </row>
    <row r="528" spans="1:10" s="4" customFormat="1" ht="12.75">
      <c r="A528" s="2" t="s">
        <v>29</v>
      </c>
      <c r="B528" s="27" t="s">
        <v>1</v>
      </c>
      <c r="C528" s="2">
        <v>30</v>
      </c>
      <c r="D528" s="2" t="s">
        <v>8</v>
      </c>
      <c r="E528" s="2">
        <f>0.2+0.85-0.003-0.5</f>
        <v>0.5470000000000002</v>
      </c>
      <c r="F528" s="45">
        <v>125000</v>
      </c>
      <c r="G528" s="36" t="s">
        <v>117</v>
      </c>
      <c r="H528" s="6"/>
      <c r="I528" s="6"/>
      <c r="J528" s="6"/>
    </row>
    <row r="529" spans="1:10" s="4" customFormat="1" ht="12.75">
      <c r="A529" s="2" t="s">
        <v>29</v>
      </c>
      <c r="B529" s="27" t="s">
        <v>373</v>
      </c>
      <c r="C529" s="2">
        <v>34</v>
      </c>
      <c r="D529" s="2" t="s">
        <v>8</v>
      </c>
      <c r="E529" s="2">
        <v>1.48</v>
      </c>
      <c r="F529" s="45">
        <v>95000</v>
      </c>
      <c r="G529" s="36" t="s">
        <v>405</v>
      </c>
      <c r="H529" s="6"/>
      <c r="I529" s="6"/>
      <c r="J529" s="6"/>
    </row>
    <row r="530" spans="1:10" s="4" customFormat="1" ht="12.75">
      <c r="A530" s="2" t="s">
        <v>29</v>
      </c>
      <c r="B530" s="23" t="s">
        <v>227</v>
      </c>
      <c r="C530" s="2">
        <v>34</v>
      </c>
      <c r="D530" s="2" t="s">
        <v>8</v>
      </c>
      <c r="E530" s="2">
        <f>(101-3-20)/1000</f>
        <v>0.078</v>
      </c>
      <c r="F530" s="45">
        <v>230000</v>
      </c>
      <c r="G530" s="36"/>
      <c r="H530" s="6"/>
      <c r="I530" s="6"/>
      <c r="J530" s="6"/>
    </row>
    <row r="531" spans="1:10" ht="12.75">
      <c r="A531" s="2" t="s">
        <v>29</v>
      </c>
      <c r="B531" s="27" t="s">
        <v>373</v>
      </c>
      <c r="C531" s="2">
        <v>38</v>
      </c>
      <c r="D531" s="2" t="s">
        <v>8</v>
      </c>
      <c r="E531" s="2">
        <v>1.96</v>
      </c>
      <c r="F531" s="45">
        <v>95000</v>
      </c>
      <c r="G531" s="36" t="s">
        <v>405</v>
      </c>
      <c r="H531" s="6"/>
      <c r="I531" s="6"/>
      <c r="J531" s="6"/>
    </row>
    <row r="532" spans="1:10" ht="12.75">
      <c r="A532" s="2" t="s">
        <v>29</v>
      </c>
      <c r="B532" s="23" t="s">
        <v>80</v>
      </c>
      <c r="C532" s="2">
        <v>38</v>
      </c>
      <c r="D532" s="2" t="s">
        <v>8</v>
      </c>
      <c r="E532" s="2">
        <v>0.292</v>
      </c>
      <c r="F532" s="45">
        <v>230000</v>
      </c>
      <c r="G532" s="48"/>
      <c r="H532" s="4"/>
      <c r="I532" s="4"/>
      <c r="J532" s="4"/>
    </row>
    <row r="533" spans="1:10" s="4" customFormat="1" ht="12.75">
      <c r="A533" s="2" t="s">
        <v>29</v>
      </c>
      <c r="B533" s="23" t="s">
        <v>138</v>
      </c>
      <c r="C533" s="2">
        <v>40</v>
      </c>
      <c r="D533" s="2" t="s">
        <v>8</v>
      </c>
      <c r="E533" s="25">
        <f>0.455-0.117-0.21</f>
        <v>0.12800000000000003</v>
      </c>
      <c r="F533" s="45">
        <v>120000</v>
      </c>
      <c r="G533" s="36" t="s">
        <v>139</v>
      </c>
      <c r="H533" s="6"/>
      <c r="I533" s="6"/>
      <c r="J533" s="6"/>
    </row>
    <row r="534" spans="1:10" s="4" customFormat="1" ht="12.75">
      <c r="A534" s="2" t="s">
        <v>29</v>
      </c>
      <c r="B534" s="23" t="s">
        <v>80</v>
      </c>
      <c r="C534" s="2">
        <v>40</v>
      </c>
      <c r="D534" s="2" t="s">
        <v>8</v>
      </c>
      <c r="E534" s="25">
        <f>(15.2)/1000</f>
        <v>0.0152</v>
      </c>
      <c r="F534" s="45">
        <v>261000</v>
      </c>
      <c r="G534" s="36"/>
      <c r="H534" s="37" t="s">
        <v>281</v>
      </c>
      <c r="I534" s="46">
        <v>43146</v>
      </c>
      <c r="J534" s="39"/>
    </row>
    <row r="535" spans="1:10" ht="12.75">
      <c r="A535" s="2" t="s">
        <v>29</v>
      </c>
      <c r="B535" s="23" t="s">
        <v>142</v>
      </c>
      <c r="C535" s="2">
        <v>42</v>
      </c>
      <c r="D535" s="2" t="s">
        <v>8</v>
      </c>
      <c r="E535" s="25">
        <f>2.55-0.198-0.045-0.011</f>
        <v>2.296</v>
      </c>
      <c r="F535" s="45">
        <v>95000</v>
      </c>
      <c r="G535" s="36" t="s">
        <v>403</v>
      </c>
      <c r="H535" s="6"/>
      <c r="I535" s="6"/>
      <c r="J535" s="6"/>
    </row>
    <row r="536" spans="1:10" s="4" customFormat="1" ht="12.75">
      <c r="A536" s="2" t="s">
        <v>29</v>
      </c>
      <c r="B536" s="23" t="s">
        <v>80</v>
      </c>
      <c r="C536" s="2">
        <v>42</v>
      </c>
      <c r="D536" s="2" t="s">
        <v>8</v>
      </c>
      <c r="E536" s="2">
        <v>0.036</v>
      </c>
      <c r="F536" s="45">
        <v>261000</v>
      </c>
      <c r="G536" s="36" t="s">
        <v>509</v>
      </c>
      <c r="H536" s="37" t="s">
        <v>281</v>
      </c>
      <c r="I536" s="49">
        <v>43144</v>
      </c>
      <c r="J536" s="44">
        <v>250</v>
      </c>
    </row>
    <row r="537" spans="1:10" ht="12.75">
      <c r="A537" s="2" t="s">
        <v>29</v>
      </c>
      <c r="B537" s="21" t="s">
        <v>156</v>
      </c>
      <c r="C537" s="2">
        <v>45</v>
      </c>
      <c r="D537" s="2" t="s">
        <v>8</v>
      </c>
      <c r="E537" s="25">
        <f>0.76-0.07-0.14-0.14-0.024</f>
        <v>0.3859999999999999</v>
      </c>
      <c r="F537" s="45">
        <v>95000</v>
      </c>
      <c r="G537" s="36" t="s">
        <v>158</v>
      </c>
      <c r="H537" s="6"/>
      <c r="I537" s="4"/>
      <c r="J537" s="4"/>
    </row>
    <row r="538" spans="1:10" s="4" customFormat="1" ht="12.75">
      <c r="A538" s="2" t="s">
        <v>29</v>
      </c>
      <c r="B538" s="27" t="s">
        <v>208</v>
      </c>
      <c r="C538" s="2">
        <v>45</v>
      </c>
      <c r="D538" s="2" t="s">
        <v>8</v>
      </c>
      <c r="E538" s="25">
        <f>0.178-0.1</f>
        <v>0.07799999999999999</v>
      </c>
      <c r="F538" s="45">
        <v>125000</v>
      </c>
      <c r="G538" s="36" t="s">
        <v>244</v>
      </c>
      <c r="H538" s="6"/>
      <c r="I538" s="6"/>
      <c r="J538" s="6"/>
    </row>
    <row r="539" spans="1:10" ht="12.75">
      <c r="A539" s="2" t="s">
        <v>29</v>
      </c>
      <c r="B539" s="23" t="s">
        <v>331</v>
      </c>
      <c r="C539" s="2">
        <v>50</v>
      </c>
      <c r="D539" s="2" t="s">
        <v>8</v>
      </c>
      <c r="E539" s="2">
        <v>0.524</v>
      </c>
      <c r="F539" s="45">
        <v>125000</v>
      </c>
      <c r="G539" s="36"/>
      <c r="H539" s="6" t="s">
        <v>303</v>
      </c>
      <c r="I539" s="38">
        <v>42884</v>
      </c>
      <c r="J539" s="6"/>
    </row>
    <row r="540" spans="1:10" ht="12.75">
      <c r="A540" s="2" t="s">
        <v>29</v>
      </c>
      <c r="B540" s="23" t="s">
        <v>80</v>
      </c>
      <c r="C540" s="2">
        <v>50</v>
      </c>
      <c r="D540" s="2" t="s">
        <v>8</v>
      </c>
      <c r="E540" s="25">
        <f>0.15+0.0127</f>
        <v>0.16269999999999998</v>
      </c>
      <c r="F540" s="45">
        <v>261000</v>
      </c>
      <c r="G540" s="36" t="s">
        <v>509</v>
      </c>
      <c r="H540" s="6"/>
      <c r="I540" s="38"/>
      <c r="J540" s="6"/>
    </row>
    <row r="541" spans="1:10" s="4" customFormat="1" ht="12.75">
      <c r="A541" s="2" t="s">
        <v>29</v>
      </c>
      <c r="B541" s="19" t="s">
        <v>27</v>
      </c>
      <c r="C541" s="2">
        <v>50</v>
      </c>
      <c r="D541" s="2" t="s">
        <v>8</v>
      </c>
      <c r="E541" s="2">
        <f>0.432-0.031-0.31</f>
        <v>0.09100000000000003</v>
      </c>
      <c r="F541" s="45">
        <v>88000</v>
      </c>
      <c r="G541" s="36"/>
      <c r="H541" s="6"/>
      <c r="I541" s="6"/>
      <c r="J541" s="6"/>
    </row>
    <row r="542" spans="1:10" ht="12.75">
      <c r="A542" s="2" t="s">
        <v>29</v>
      </c>
      <c r="B542" s="27" t="s">
        <v>342</v>
      </c>
      <c r="C542" s="2">
        <v>55</v>
      </c>
      <c r="D542" s="2" t="s">
        <v>8</v>
      </c>
      <c r="E542" s="2">
        <v>0.11</v>
      </c>
      <c r="F542" s="45">
        <v>390000</v>
      </c>
      <c r="G542" s="36" t="s">
        <v>482</v>
      </c>
      <c r="H542" s="6"/>
      <c r="I542" s="6"/>
      <c r="J542" s="6"/>
    </row>
    <row r="543" spans="1:10" ht="12.75">
      <c r="A543" s="2" t="s">
        <v>29</v>
      </c>
      <c r="B543" s="23" t="s">
        <v>130</v>
      </c>
      <c r="C543" s="2">
        <v>56</v>
      </c>
      <c r="D543" s="2" t="s">
        <v>8</v>
      </c>
      <c r="E543" s="25">
        <v>0.134</v>
      </c>
      <c r="F543" s="45">
        <v>75000</v>
      </c>
      <c r="G543" s="36" t="s">
        <v>141</v>
      </c>
      <c r="H543" s="6"/>
      <c r="I543" s="6"/>
      <c r="J543" s="6"/>
    </row>
    <row r="544" spans="1:10" ht="12.75">
      <c r="A544" s="2" t="s">
        <v>29</v>
      </c>
      <c r="B544" s="27" t="s">
        <v>342</v>
      </c>
      <c r="C544" s="2">
        <v>56</v>
      </c>
      <c r="D544" s="2" t="s">
        <v>8</v>
      </c>
      <c r="E544" s="2">
        <v>0.11</v>
      </c>
      <c r="F544" s="45">
        <v>390000</v>
      </c>
      <c r="G544" s="36" t="s">
        <v>482</v>
      </c>
      <c r="H544" s="6"/>
      <c r="I544" s="6"/>
      <c r="J544" s="6"/>
    </row>
    <row r="545" spans="1:10" s="4" customFormat="1" ht="12.75">
      <c r="A545" s="2" t="s">
        <v>29</v>
      </c>
      <c r="B545" s="23" t="s">
        <v>157</v>
      </c>
      <c r="C545" s="2">
        <v>60</v>
      </c>
      <c r="D545" s="2" t="s">
        <v>8</v>
      </c>
      <c r="E545" s="2">
        <f>2.6-0.396-0.12-0.118-0.23-0.132-1.008-0.044</f>
        <v>0.552</v>
      </c>
      <c r="F545" s="45">
        <v>67700</v>
      </c>
      <c r="G545" s="36" t="s">
        <v>165</v>
      </c>
      <c r="H545" s="6"/>
      <c r="I545" s="6"/>
      <c r="J545" s="6"/>
    </row>
    <row r="546" spans="1:10" s="4" customFormat="1" ht="12.75">
      <c r="A546" s="2" t="s">
        <v>29</v>
      </c>
      <c r="B546" s="27" t="s">
        <v>9</v>
      </c>
      <c r="C546" s="2">
        <v>60</v>
      </c>
      <c r="D546" s="2" t="s">
        <v>8</v>
      </c>
      <c r="E546" s="25">
        <f>0.098-0.012</f>
        <v>0.08600000000000001</v>
      </c>
      <c r="F546" s="45">
        <v>107000</v>
      </c>
      <c r="G546" s="36"/>
      <c r="H546" s="6"/>
      <c r="I546" s="6"/>
      <c r="J546" s="6"/>
    </row>
    <row r="547" spans="1:10" ht="12.75">
      <c r="A547" s="2" t="s">
        <v>29</v>
      </c>
      <c r="B547" s="27" t="s">
        <v>342</v>
      </c>
      <c r="C547" s="2">
        <v>60</v>
      </c>
      <c r="D547" s="2" t="s">
        <v>8</v>
      </c>
      <c r="E547" s="2">
        <v>0.096</v>
      </c>
      <c r="F547" s="45">
        <v>390000</v>
      </c>
      <c r="G547" s="36" t="s">
        <v>482</v>
      </c>
      <c r="H547" s="6"/>
      <c r="I547" s="6"/>
      <c r="J547" s="6"/>
    </row>
    <row r="548" spans="1:10" s="4" customFormat="1" ht="12.75">
      <c r="A548" s="2" t="s">
        <v>29</v>
      </c>
      <c r="B548" s="23" t="s">
        <v>331</v>
      </c>
      <c r="C548" s="2">
        <v>60</v>
      </c>
      <c r="D548" s="2" t="s">
        <v>8</v>
      </c>
      <c r="E548" s="2">
        <v>0.996</v>
      </c>
      <c r="F548" s="45">
        <v>120000</v>
      </c>
      <c r="G548" s="36"/>
      <c r="H548" s="6" t="s">
        <v>303</v>
      </c>
      <c r="I548" s="38">
        <v>42884</v>
      </c>
      <c r="J548" s="6"/>
    </row>
    <row r="549" spans="1:10" ht="12.75">
      <c r="A549" s="2" t="s">
        <v>29</v>
      </c>
      <c r="B549" s="23" t="s">
        <v>80</v>
      </c>
      <c r="C549" s="2">
        <v>60</v>
      </c>
      <c r="D549" s="2" t="s">
        <v>8</v>
      </c>
      <c r="E549" s="2">
        <f>0.73-0.234+0.04-0.157</f>
        <v>0.379</v>
      </c>
      <c r="F549" s="45">
        <v>230000</v>
      </c>
      <c r="G549" s="36"/>
      <c r="H549" s="6"/>
      <c r="I549" s="6"/>
      <c r="J549" s="6"/>
    </row>
    <row r="550" spans="1:10" ht="12.75">
      <c r="A550" s="2" t="s">
        <v>29</v>
      </c>
      <c r="B550" s="27" t="s">
        <v>132</v>
      </c>
      <c r="C550" s="2">
        <v>65</v>
      </c>
      <c r="D550" s="2" t="s">
        <v>8</v>
      </c>
      <c r="E550" s="2">
        <v>0.118</v>
      </c>
      <c r="F550" s="45">
        <v>160000</v>
      </c>
      <c r="G550" s="36"/>
      <c r="H550" s="6" t="s">
        <v>593</v>
      </c>
      <c r="I550" s="46">
        <v>43237</v>
      </c>
      <c r="J550" s="39" t="s">
        <v>594</v>
      </c>
    </row>
    <row r="551" spans="1:10" ht="12.75">
      <c r="A551" s="2" t="s">
        <v>29</v>
      </c>
      <c r="B551" s="23" t="s">
        <v>80</v>
      </c>
      <c r="C551" s="2">
        <v>65</v>
      </c>
      <c r="D551" s="2" t="s">
        <v>8</v>
      </c>
      <c r="E551" s="2">
        <v>0.047</v>
      </c>
      <c r="F551" s="45">
        <v>230000</v>
      </c>
      <c r="G551" s="36" t="s">
        <v>493</v>
      </c>
      <c r="H551" s="6" t="s">
        <v>290</v>
      </c>
      <c r="I551" s="47"/>
      <c r="J551" s="39" t="s">
        <v>494</v>
      </c>
    </row>
    <row r="552" spans="1:10" s="4" customFormat="1" ht="12.75">
      <c r="A552" s="2" t="s">
        <v>29</v>
      </c>
      <c r="B552" s="23" t="s">
        <v>124</v>
      </c>
      <c r="C552" s="2">
        <v>70</v>
      </c>
      <c r="D552" s="2" t="s">
        <v>8</v>
      </c>
      <c r="E552" s="25">
        <f>1.45-0.116</f>
        <v>1.3339999999999999</v>
      </c>
      <c r="F552" s="45">
        <v>110000</v>
      </c>
      <c r="G552" s="36" t="s">
        <v>143</v>
      </c>
      <c r="H552" s="6"/>
      <c r="I552" s="6"/>
      <c r="J552" s="6"/>
    </row>
    <row r="553" spans="1:10" s="4" customFormat="1" ht="12.75">
      <c r="A553" s="2" t="s">
        <v>29</v>
      </c>
      <c r="B553" s="23" t="s">
        <v>163</v>
      </c>
      <c r="C553" s="2">
        <v>70</v>
      </c>
      <c r="D553" s="2" t="s">
        <v>8</v>
      </c>
      <c r="E553" s="2">
        <v>0.056</v>
      </c>
      <c r="F553" s="45">
        <v>180000</v>
      </c>
      <c r="G553" s="36" t="s">
        <v>313</v>
      </c>
      <c r="H553" s="6"/>
      <c r="I553" s="6"/>
      <c r="J553" s="6"/>
    </row>
    <row r="554" spans="1:10" s="4" customFormat="1" ht="12.75">
      <c r="A554" s="2" t="s">
        <v>29</v>
      </c>
      <c r="B554" s="27" t="s">
        <v>132</v>
      </c>
      <c r="C554" s="2">
        <v>75</v>
      </c>
      <c r="D554" s="2" t="s">
        <v>8</v>
      </c>
      <c r="E554" s="2">
        <f>0.15+0.92</f>
        <v>1.07</v>
      </c>
      <c r="F554" s="45">
        <v>160000</v>
      </c>
      <c r="G554" s="36" t="s">
        <v>516</v>
      </c>
      <c r="H554" s="6"/>
      <c r="I554" s="46"/>
      <c r="J554" s="36"/>
    </row>
    <row r="555" spans="1:10" s="4" customFormat="1" ht="12.75">
      <c r="A555" s="2" t="s">
        <v>29</v>
      </c>
      <c r="B555" s="20" t="s">
        <v>61</v>
      </c>
      <c r="C555" s="2">
        <v>90</v>
      </c>
      <c r="D555" s="2" t="s">
        <v>8</v>
      </c>
      <c r="E555" s="25">
        <v>0.158</v>
      </c>
      <c r="F555" s="45">
        <v>60000</v>
      </c>
      <c r="G555" s="36"/>
      <c r="H555" s="5"/>
      <c r="I555" s="5"/>
      <c r="J555" s="5"/>
    </row>
    <row r="556" spans="1:10" s="4" customFormat="1" ht="12.75">
      <c r="A556" s="2" t="s">
        <v>29</v>
      </c>
      <c r="B556" s="23" t="s">
        <v>376</v>
      </c>
      <c r="C556" s="2">
        <v>90</v>
      </c>
      <c r="D556" s="2" t="s">
        <v>8</v>
      </c>
      <c r="E556" s="2">
        <v>2.616</v>
      </c>
      <c r="F556" s="45">
        <v>75000</v>
      </c>
      <c r="G556" s="36" t="s">
        <v>404</v>
      </c>
      <c r="H556" s="6" t="s">
        <v>303</v>
      </c>
      <c r="I556" s="46">
        <v>42982</v>
      </c>
      <c r="J556" s="36" t="s">
        <v>385</v>
      </c>
    </row>
    <row r="557" spans="1:10" s="4" customFormat="1" ht="12.75">
      <c r="A557" s="2" t="s">
        <v>29</v>
      </c>
      <c r="B557" s="23" t="s">
        <v>163</v>
      </c>
      <c r="C557" s="2">
        <v>90</v>
      </c>
      <c r="D557" s="2" t="s">
        <v>8</v>
      </c>
      <c r="E557" s="2">
        <v>0.075</v>
      </c>
      <c r="F557" s="45">
        <v>180000</v>
      </c>
      <c r="G557" s="36" t="s">
        <v>350</v>
      </c>
      <c r="H557" s="6"/>
      <c r="I557" s="6"/>
      <c r="J557" s="6"/>
    </row>
    <row r="558" spans="1:10" s="4" customFormat="1" ht="12.75">
      <c r="A558" s="2" t="s">
        <v>29</v>
      </c>
      <c r="B558" s="23" t="s">
        <v>125</v>
      </c>
      <c r="C558" s="2">
        <v>100</v>
      </c>
      <c r="D558" s="2" t="s">
        <v>8</v>
      </c>
      <c r="E558" s="25">
        <f>0.592-0.204-0.19-0.051</f>
        <v>0.14700000000000002</v>
      </c>
      <c r="F558" s="45">
        <v>185000</v>
      </c>
      <c r="G558" s="36"/>
      <c r="H558" s="6"/>
      <c r="I558" s="6"/>
      <c r="J558" s="6"/>
    </row>
    <row r="559" spans="1:10" ht="12.75">
      <c r="A559" s="2" t="s">
        <v>29</v>
      </c>
      <c r="B559" s="27" t="s">
        <v>206</v>
      </c>
      <c r="C559" s="2">
        <v>105</v>
      </c>
      <c r="D559" s="2" t="s">
        <v>8</v>
      </c>
      <c r="E559" s="25">
        <f>1.585-0.036</f>
        <v>1.549</v>
      </c>
      <c r="F559" s="45">
        <v>97000</v>
      </c>
      <c r="G559" s="59" t="s">
        <v>337</v>
      </c>
      <c r="H559" s="6"/>
      <c r="I559" s="6"/>
      <c r="J559" s="6"/>
    </row>
    <row r="560" spans="1:10" s="4" customFormat="1" ht="12.75">
      <c r="A560" s="2" t="s">
        <v>29</v>
      </c>
      <c r="B560" s="23" t="s">
        <v>13</v>
      </c>
      <c r="C560" s="2">
        <v>110</v>
      </c>
      <c r="D560" s="2" t="s">
        <v>8</v>
      </c>
      <c r="E560" s="25">
        <v>0.153</v>
      </c>
      <c r="F560" s="45">
        <v>60000</v>
      </c>
      <c r="G560" s="36" t="s">
        <v>84</v>
      </c>
      <c r="H560" s="6"/>
      <c r="I560" s="6"/>
      <c r="J560" s="6"/>
    </row>
    <row r="561" spans="1:10" s="4" customFormat="1" ht="12.75">
      <c r="A561" s="2" t="s">
        <v>29</v>
      </c>
      <c r="B561" s="23" t="s">
        <v>138</v>
      </c>
      <c r="C561" s="2">
        <v>110</v>
      </c>
      <c r="D561" s="2" t="s">
        <v>8</v>
      </c>
      <c r="E561" s="25">
        <v>0.531</v>
      </c>
      <c r="F561" s="45">
        <v>105000</v>
      </c>
      <c r="G561" s="36" t="s">
        <v>139</v>
      </c>
      <c r="H561" s="6"/>
      <c r="I561" s="6"/>
      <c r="J561" s="6"/>
    </row>
    <row r="562" spans="1:10" s="4" customFormat="1" ht="12.75">
      <c r="A562" s="2" t="s">
        <v>29</v>
      </c>
      <c r="B562" s="23" t="s">
        <v>331</v>
      </c>
      <c r="C562" s="2">
        <v>115</v>
      </c>
      <c r="D562" s="2" t="s">
        <v>8</v>
      </c>
      <c r="E562" s="25">
        <v>0.27</v>
      </c>
      <c r="F562" s="45">
        <v>120000</v>
      </c>
      <c r="G562" s="36"/>
      <c r="H562" s="6"/>
      <c r="I562" s="6"/>
      <c r="J562" s="6"/>
    </row>
    <row r="563" spans="1:12" s="4" customFormat="1" ht="12.75">
      <c r="A563" s="2" t="s">
        <v>29</v>
      </c>
      <c r="B563" s="27" t="s">
        <v>377</v>
      </c>
      <c r="C563" s="2">
        <v>120</v>
      </c>
      <c r="D563" s="2" t="s">
        <v>8</v>
      </c>
      <c r="E563" s="2">
        <f>(82+144)/1000</f>
        <v>0.226</v>
      </c>
      <c r="F563" s="45">
        <v>230000</v>
      </c>
      <c r="G563" s="36"/>
      <c r="H563" s="6"/>
      <c r="I563" s="6"/>
      <c r="J563" s="6"/>
      <c r="K563" s="1"/>
      <c r="L563" s="1"/>
    </row>
    <row r="564" spans="1:12" s="4" customFormat="1" ht="12.75">
      <c r="A564" s="2" t="s">
        <v>29</v>
      </c>
      <c r="B564" s="27" t="s">
        <v>604</v>
      </c>
      <c r="C564" s="2">
        <v>120</v>
      </c>
      <c r="D564" s="2" t="s">
        <v>8</v>
      </c>
      <c r="E564" s="2">
        <v>0.143</v>
      </c>
      <c r="F564" s="45">
        <v>180000</v>
      </c>
      <c r="G564" s="36"/>
      <c r="H564" s="6"/>
      <c r="I564" s="6"/>
      <c r="J564" s="6"/>
      <c r="K564" s="1"/>
      <c r="L564" s="1"/>
    </row>
    <row r="565" spans="1:12" s="4" customFormat="1" ht="12.75">
      <c r="A565" s="2" t="s">
        <v>29</v>
      </c>
      <c r="B565" s="27" t="s">
        <v>604</v>
      </c>
      <c r="C565" s="2">
        <v>125</v>
      </c>
      <c r="D565" s="2" t="s">
        <v>8</v>
      </c>
      <c r="E565" s="2">
        <f>0.414</f>
        <v>0.414</v>
      </c>
      <c r="F565" s="45">
        <v>180000</v>
      </c>
      <c r="G565" s="36"/>
      <c r="H565" s="6"/>
      <c r="I565" s="6"/>
      <c r="J565" s="6"/>
      <c r="K565" s="1"/>
      <c r="L565" s="1"/>
    </row>
    <row r="566" spans="1:12" s="4" customFormat="1" ht="12.75">
      <c r="A566" s="2" t="s">
        <v>29</v>
      </c>
      <c r="B566" s="27" t="s">
        <v>604</v>
      </c>
      <c r="C566" s="2">
        <v>130</v>
      </c>
      <c r="D566" s="2" t="s">
        <v>8</v>
      </c>
      <c r="E566" s="2">
        <v>0.131</v>
      </c>
      <c r="F566" s="45">
        <v>180000</v>
      </c>
      <c r="G566" s="36"/>
      <c r="H566" s="6"/>
      <c r="I566" s="6"/>
      <c r="J566" s="6"/>
      <c r="K566" s="1"/>
      <c r="L566" s="1"/>
    </row>
    <row r="567" spans="1:10" s="4" customFormat="1" ht="12.75">
      <c r="A567" s="2" t="s">
        <v>29</v>
      </c>
      <c r="B567" s="27" t="s">
        <v>206</v>
      </c>
      <c r="C567" s="2">
        <v>130</v>
      </c>
      <c r="D567" s="2" t="s">
        <v>8</v>
      </c>
      <c r="E567" s="25">
        <f>0.41*3-0.106</f>
        <v>1.1239999999999999</v>
      </c>
      <c r="F567" s="45">
        <v>105000</v>
      </c>
      <c r="G567" s="36" t="s">
        <v>140</v>
      </c>
      <c r="H567" s="6"/>
      <c r="I567" s="6"/>
      <c r="J567" s="6"/>
    </row>
    <row r="568" spans="1:10" ht="12.75">
      <c r="A568" s="2" t="s">
        <v>29</v>
      </c>
      <c r="B568" s="23" t="s">
        <v>80</v>
      </c>
      <c r="C568" s="2">
        <v>140</v>
      </c>
      <c r="D568" s="2" t="s">
        <v>8</v>
      </c>
      <c r="E568" s="2">
        <v>0.095</v>
      </c>
      <c r="F568" s="45">
        <v>197600</v>
      </c>
      <c r="G568" s="36"/>
      <c r="H568" s="6"/>
      <c r="I568" s="6"/>
      <c r="J568" s="6"/>
    </row>
    <row r="569" spans="1:10" s="4" customFormat="1" ht="12.75">
      <c r="A569" s="2" t="s">
        <v>29</v>
      </c>
      <c r="B569" s="27" t="s">
        <v>9</v>
      </c>
      <c r="C569" s="2">
        <v>170</v>
      </c>
      <c r="D569" s="2" t="s">
        <v>8</v>
      </c>
      <c r="E569" s="25">
        <v>0.116</v>
      </c>
      <c r="F569" s="45">
        <v>95000</v>
      </c>
      <c r="G569" s="6"/>
      <c r="H569" s="6"/>
      <c r="I569" s="6"/>
      <c r="J569" s="6"/>
    </row>
    <row r="570" spans="1:10" s="4" customFormat="1" ht="12.75">
      <c r="A570" s="2" t="s">
        <v>29</v>
      </c>
      <c r="B570" s="27" t="s">
        <v>146</v>
      </c>
      <c r="C570" s="2">
        <v>170</v>
      </c>
      <c r="D570" s="2" t="s">
        <v>8</v>
      </c>
      <c r="E570" s="25">
        <f>(98*2+106)/1000</f>
        <v>0.302</v>
      </c>
      <c r="F570" s="45">
        <v>180000</v>
      </c>
      <c r="G570" s="36" t="s">
        <v>228</v>
      </c>
      <c r="H570" s="6"/>
      <c r="I570" s="6"/>
      <c r="J570" s="6"/>
    </row>
    <row r="571" spans="1:10" s="4" customFormat="1" ht="12.75">
      <c r="A571" s="2" t="s">
        <v>29</v>
      </c>
      <c r="B571" s="23" t="s">
        <v>13</v>
      </c>
      <c r="C571" s="2">
        <v>200</v>
      </c>
      <c r="D571" s="2" t="s">
        <v>8</v>
      </c>
      <c r="E571" s="2">
        <f>0.494/2</f>
        <v>0.247</v>
      </c>
      <c r="F571" s="45">
        <v>60000</v>
      </c>
      <c r="G571" s="36" t="s">
        <v>383</v>
      </c>
      <c r="H571" s="6"/>
      <c r="I571" s="6"/>
      <c r="J571" s="6"/>
    </row>
    <row r="572" spans="1:10" s="4" customFormat="1" ht="12.75">
      <c r="A572" s="2" t="s">
        <v>29</v>
      </c>
      <c r="B572" s="23" t="s">
        <v>275</v>
      </c>
      <c r="C572" s="2">
        <v>200</v>
      </c>
      <c r="D572" s="2" t="s">
        <v>8</v>
      </c>
      <c r="E572" s="2">
        <f>0.556-0.272</f>
        <v>0.28400000000000003</v>
      </c>
      <c r="F572" s="45">
        <v>60000</v>
      </c>
      <c r="G572" s="62">
        <v>1.15</v>
      </c>
      <c r="H572" s="6"/>
      <c r="I572" s="6"/>
      <c r="J572" s="6"/>
    </row>
    <row r="573" spans="1:10" s="4" customFormat="1" ht="12.75">
      <c r="A573" s="2" t="s">
        <v>29</v>
      </c>
      <c r="B573" s="27" t="s">
        <v>159</v>
      </c>
      <c r="C573" s="2">
        <v>210</v>
      </c>
      <c r="D573" s="2" t="s">
        <v>8</v>
      </c>
      <c r="E573" s="2">
        <f>0.444</f>
        <v>0.444</v>
      </c>
      <c r="F573" s="45">
        <v>98000</v>
      </c>
      <c r="G573" s="36" t="s">
        <v>406</v>
      </c>
      <c r="H573" s="5"/>
      <c r="I573" s="5"/>
      <c r="J573" s="5"/>
    </row>
    <row r="574" spans="1:10" ht="12.75">
      <c r="A574" s="65" t="s">
        <v>29</v>
      </c>
      <c r="B574" s="81" t="s">
        <v>227</v>
      </c>
      <c r="C574" s="65">
        <v>250</v>
      </c>
      <c r="D574" s="65" t="s">
        <v>8</v>
      </c>
      <c r="E574" s="65">
        <v>1.641</v>
      </c>
      <c r="F574" s="67">
        <v>230000</v>
      </c>
      <c r="G574" s="68" t="s">
        <v>586</v>
      </c>
      <c r="H574" s="6"/>
      <c r="I574" s="46"/>
      <c r="J574" s="36"/>
    </row>
    <row r="575" spans="1:10" s="4" customFormat="1" ht="12.75">
      <c r="A575" s="2" t="s">
        <v>454</v>
      </c>
      <c r="B575" s="21" t="s">
        <v>455</v>
      </c>
      <c r="C575" s="2">
        <v>60</v>
      </c>
      <c r="D575" s="2" t="s">
        <v>8</v>
      </c>
      <c r="E575" s="25">
        <f>(37.5*9+1010)/1000</f>
        <v>1.3475</v>
      </c>
      <c r="F575" s="45" t="s">
        <v>456</v>
      </c>
      <c r="G575" s="36" t="s">
        <v>568</v>
      </c>
      <c r="H575" s="6"/>
      <c r="I575" s="6"/>
      <c r="J575" s="6"/>
    </row>
    <row r="576" spans="1:10" ht="12.75">
      <c r="A576" s="2" t="s">
        <v>31</v>
      </c>
      <c r="B576" s="27" t="s">
        <v>60</v>
      </c>
      <c r="C576" s="2">
        <v>20</v>
      </c>
      <c r="D576" s="2" t="s">
        <v>8</v>
      </c>
      <c r="E576" s="2">
        <f>0.527-0.024-0.016-0.021-0.255</f>
        <v>0.21099999999999997</v>
      </c>
      <c r="F576" s="45">
        <v>86000</v>
      </c>
      <c r="G576" s="36" t="s">
        <v>53</v>
      </c>
      <c r="H576" s="6"/>
      <c r="I576" s="6"/>
      <c r="J576" s="6"/>
    </row>
    <row r="577" spans="1:10" s="4" customFormat="1" ht="12.75">
      <c r="A577" s="2" t="s">
        <v>31</v>
      </c>
      <c r="B577" s="27" t="s">
        <v>60</v>
      </c>
      <c r="C577" s="2">
        <v>28</v>
      </c>
      <c r="D577" s="2" t="s">
        <v>8</v>
      </c>
      <c r="E577" s="2">
        <f>1.873-0.088</f>
        <v>1.785</v>
      </c>
      <c r="F577" s="45">
        <v>95000</v>
      </c>
      <c r="G577" s="36"/>
      <c r="H577" s="6" t="s">
        <v>303</v>
      </c>
      <c r="I577" s="38">
        <v>42885</v>
      </c>
      <c r="J577" s="6"/>
    </row>
    <row r="578" spans="1:10" s="4" customFormat="1" ht="12.75">
      <c r="A578" s="2" t="s">
        <v>31</v>
      </c>
      <c r="B578" s="27" t="s">
        <v>60</v>
      </c>
      <c r="C578" s="2">
        <v>30</v>
      </c>
      <c r="D578" s="2" t="s">
        <v>8</v>
      </c>
      <c r="E578" s="2">
        <f>0.577-0.033-0.161-0.18-0.053</f>
        <v>0.1499999999999999</v>
      </c>
      <c r="F578" s="45">
        <v>95000</v>
      </c>
      <c r="G578" s="36"/>
      <c r="H578" s="6"/>
      <c r="I578" s="6"/>
      <c r="J578" s="6"/>
    </row>
    <row r="579" spans="1:10" s="4" customFormat="1" ht="12.75">
      <c r="A579" s="2" t="s">
        <v>31</v>
      </c>
      <c r="B579" s="27" t="s">
        <v>51</v>
      </c>
      <c r="C579" s="2">
        <v>31</v>
      </c>
      <c r="D579" s="2" t="s">
        <v>8</v>
      </c>
      <c r="E579" s="2">
        <f>2.17-0.012-0.029</f>
        <v>2.129</v>
      </c>
      <c r="F579" s="45">
        <v>95000</v>
      </c>
      <c r="G579" s="36" t="s">
        <v>495</v>
      </c>
      <c r="H579" s="6"/>
      <c r="I579" s="6"/>
      <c r="J579" s="6"/>
    </row>
    <row r="580" spans="1:10" s="4" customFormat="1" ht="12.75">
      <c r="A580" s="2" t="s">
        <v>31</v>
      </c>
      <c r="B580" s="23" t="s">
        <v>18</v>
      </c>
      <c r="C580" s="2">
        <v>40</v>
      </c>
      <c r="D580" s="2" t="s">
        <v>8</v>
      </c>
      <c r="E580" s="2">
        <f>3.6-0.011-0.12-0.068-0.063-0.074</f>
        <v>3.264</v>
      </c>
      <c r="F580" s="45">
        <v>86000</v>
      </c>
      <c r="G580" s="36" t="s">
        <v>256</v>
      </c>
      <c r="H580" s="6"/>
      <c r="I580" s="6"/>
      <c r="J580" s="6"/>
    </row>
    <row r="581" spans="1:10" ht="12.75">
      <c r="A581" s="2" t="s">
        <v>31</v>
      </c>
      <c r="B581" s="23" t="s">
        <v>18</v>
      </c>
      <c r="C581" s="2">
        <v>60</v>
      </c>
      <c r="D581" s="2" t="s">
        <v>8</v>
      </c>
      <c r="E581" s="2">
        <f>0.29-0.036</f>
        <v>0.254</v>
      </c>
      <c r="F581" s="45">
        <v>86000</v>
      </c>
      <c r="G581" s="36" t="s">
        <v>53</v>
      </c>
      <c r="H581" s="6"/>
      <c r="I581" s="6"/>
      <c r="J581" s="6"/>
    </row>
    <row r="582" spans="1:10" s="4" customFormat="1" ht="12.75">
      <c r="A582" s="2" t="s">
        <v>31</v>
      </c>
      <c r="B582" s="27" t="s">
        <v>60</v>
      </c>
      <c r="C582" s="2">
        <v>70</v>
      </c>
      <c r="D582" s="2" t="s">
        <v>8</v>
      </c>
      <c r="E582" s="2">
        <f>1.83-0.263-0.038-0.031-0.102-0.13-0.031-0.33-0.031*4+0.249-0.249-0.416-0.205</f>
        <v>0.16000000000000006</v>
      </c>
      <c r="F582" s="45">
        <v>86000</v>
      </c>
      <c r="G582" s="36" t="s">
        <v>53</v>
      </c>
      <c r="H582" s="6"/>
      <c r="I582" s="6"/>
      <c r="J582" s="6"/>
    </row>
    <row r="583" spans="1:10" s="4" customFormat="1" ht="12.75">
      <c r="A583" s="2" t="s">
        <v>31</v>
      </c>
      <c r="B583" s="27" t="s">
        <v>60</v>
      </c>
      <c r="C583" s="2">
        <v>80</v>
      </c>
      <c r="D583" s="2" t="s">
        <v>8</v>
      </c>
      <c r="E583" s="2">
        <v>0.07</v>
      </c>
      <c r="F583" s="45">
        <v>86000</v>
      </c>
      <c r="G583" s="36" t="s">
        <v>53</v>
      </c>
      <c r="H583" s="6" t="s">
        <v>290</v>
      </c>
      <c r="I583" s="47"/>
      <c r="J583" s="39" t="s">
        <v>473</v>
      </c>
    </row>
    <row r="584" spans="1:10" ht="12.75">
      <c r="A584" s="2" t="s">
        <v>31</v>
      </c>
      <c r="B584" s="27" t="s">
        <v>60</v>
      </c>
      <c r="C584" s="2">
        <v>85</v>
      </c>
      <c r="D584" s="2" t="s">
        <v>8</v>
      </c>
      <c r="E584" s="2">
        <f>0.282-0.085-0.073</f>
        <v>0.12399999999999996</v>
      </c>
      <c r="F584" s="45">
        <v>86000</v>
      </c>
      <c r="G584" s="36" t="s">
        <v>53</v>
      </c>
      <c r="H584" s="6"/>
      <c r="I584" s="6"/>
      <c r="J584" s="6"/>
    </row>
    <row r="585" spans="1:10" ht="12.75">
      <c r="A585" s="2" t="s">
        <v>31</v>
      </c>
      <c r="B585" s="27" t="s">
        <v>60</v>
      </c>
      <c r="C585" s="2">
        <v>90</v>
      </c>
      <c r="D585" s="2" t="s">
        <v>8</v>
      </c>
      <c r="E585" s="2">
        <f>0.21-0.102</f>
        <v>0.108</v>
      </c>
      <c r="F585" s="45">
        <v>86000</v>
      </c>
      <c r="G585" s="36" t="s">
        <v>53</v>
      </c>
      <c r="H585" s="6"/>
      <c r="I585" s="6"/>
      <c r="J585" s="6"/>
    </row>
    <row r="586" spans="1:10" s="4" customFormat="1" ht="12.75">
      <c r="A586" s="2" t="s">
        <v>31</v>
      </c>
      <c r="B586" s="23" t="s">
        <v>18</v>
      </c>
      <c r="C586" s="2">
        <v>150</v>
      </c>
      <c r="D586" s="2" t="s">
        <v>8</v>
      </c>
      <c r="E586" s="2">
        <f>0.175</f>
        <v>0.175</v>
      </c>
      <c r="F586" s="45">
        <v>86000</v>
      </c>
      <c r="G586" s="36" t="s">
        <v>495</v>
      </c>
      <c r="H586" s="6"/>
      <c r="I586" s="6"/>
      <c r="J586" s="6"/>
    </row>
    <row r="587" spans="1:10" ht="12.75">
      <c r="A587" s="2" t="s">
        <v>31</v>
      </c>
      <c r="B587" s="22" t="s">
        <v>497</v>
      </c>
      <c r="C587" s="2">
        <v>180</v>
      </c>
      <c r="D587" s="2" t="s">
        <v>8</v>
      </c>
      <c r="E587" s="2">
        <f>3.67-0.603-0.66</f>
        <v>2.407</v>
      </c>
      <c r="F587" s="45">
        <v>86000</v>
      </c>
      <c r="G587" s="36" t="s">
        <v>495</v>
      </c>
      <c r="H587" s="6"/>
      <c r="I587" s="6"/>
      <c r="J587" s="6"/>
    </row>
    <row r="588" spans="1:10" ht="12.75">
      <c r="A588" s="2" t="s">
        <v>31</v>
      </c>
      <c r="B588" s="27" t="s">
        <v>60</v>
      </c>
      <c r="C588" s="2">
        <v>220</v>
      </c>
      <c r="D588" s="2" t="s">
        <v>8</v>
      </c>
      <c r="E588" s="2">
        <f>0.855</f>
        <v>0.855</v>
      </c>
      <c r="F588" s="45">
        <v>86000</v>
      </c>
      <c r="G588" s="36" t="s">
        <v>495</v>
      </c>
      <c r="H588" s="6"/>
      <c r="I588" s="6"/>
      <c r="J588" s="6"/>
    </row>
    <row r="589" spans="1:10" s="4" customFormat="1" ht="12.75">
      <c r="A589" s="2" t="s">
        <v>31</v>
      </c>
      <c r="B589" s="22" t="s">
        <v>497</v>
      </c>
      <c r="C589" s="2">
        <v>230</v>
      </c>
      <c r="D589" s="2" t="s">
        <v>8</v>
      </c>
      <c r="E589" s="2">
        <f>(1.11)+(1.11-0.338)</f>
        <v>1.8820000000000001</v>
      </c>
      <c r="F589" s="45">
        <v>90000</v>
      </c>
      <c r="G589" s="36" t="s">
        <v>495</v>
      </c>
      <c r="H589" s="6"/>
      <c r="I589" s="6"/>
      <c r="J589" s="6"/>
    </row>
    <row r="590" spans="1:10" s="4" customFormat="1" ht="12.75">
      <c r="A590" s="2" t="s">
        <v>31</v>
      </c>
      <c r="B590" s="27" t="s">
        <v>60</v>
      </c>
      <c r="C590" s="2">
        <v>250</v>
      </c>
      <c r="D590" s="2" t="s">
        <v>8</v>
      </c>
      <c r="E590" s="2">
        <v>2.87</v>
      </c>
      <c r="F590" s="45">
        <v>90000</v>
      </c>
      <c r="G590" s="36" t="s">
        <v>495</v>
      </c>
      <c r="H590" s="6"/>
      <c r="I590" s="6"/>
      <c r="J590" s="6"/>
    </row>
    <row r="591" spans="1:10" s="4" customFormat="1" ht="12.75">
      <c r="A591" s="2" t="s">
        <v>31</v>
      </c>
      <c r="B591" s="27" t="s">
        <v>60</v>
      </c>
      <c r="C591" s="2">
        <v>280</v>
      </c>
      <c r="D591" s="2" t="s">
        <v>8</v>
      </c>
      <c r="E591" s="2">
        <f>0.92</f>
        <v>0.92</v>
      </c>
      <c r="F591" s="45">
        <v>90000</v>
      </c>
      <c r="G591" s="36" t="s">
        <v>495</v>
      </c>
      <c r="H591" s="6"/>
      <c r="I591" s="6"/>
      <c r="J591" s="6"/>
    </row>
    <row r="592" spans="1:10" s="4" customFormat="1" ht="12.75">
      <c r="A592" s="2" t="s">
        <v>28</v>
      </c>
      <c r="B592" s="19" t="s">
        <v>50</v>
      </c>
      <c r="C592" s="2">
        <v>4</v>
      </c>
      <c r="D592" s="2" t="s">
        <v>8</v>
      </c>
      <c r="E592" s="2">
        <f>0.092-0.01-0.01-0.011-0.02</f>
        <v>0.04100000000000001</v>
      </c>
      <c r="F592" s="45">
        <v>320000</v>
      </c>
      <c r="G592" s="36" t="s">
        <v>449</v>
      </c>
      <c r="H592" s="6"/>
      <c r="I592" s="6"/>
      <c r="J592" s="6"/>
    </row>
    <row r="593" spans="1:10" s="4" customFormat="1" ht="12.75">
      <c r="A593" s="2" t="s">
        <v>28</v>
      </c>
      <c r="B593" s="20" t="s">
        <v>36</v>
      </c>
      <c r="C593" s="2">
        <v>10</v>
      </c>
      <c r="D593" s="2" t="s">
        <v>8</v>
      </c>
      <c r="E593" s="25">
        <f>(945-3-5-3-10-10)/1000</f>
        <v>0.914</v>
      </c>
      <c r="F593" s="45">
        <v>154000</v>
      </c>
      <c r="G593" s="36" t="s">
        <v>398</v>
      </c>
      <c r="H593" s="6"/>
      <c r="I593" s="6"/>
      <c r="J593" s="6"/>
    </row>
    <row r="594" spans="1:10" ht="12.75">
      <c r="A594" s="2" t="s">
        <v>28</v>
      </c>
      <c r="B594" s="27" t="s">
        <v>36</v>
      </c>
      <c r="C594" s="2">
        <v>12</v>
      </c>
      <c r="D594" s="2" t="s">
        <v>8</v>
      </c>
      <c r="E594" s="25">
        <f>1.088+0.247-0.012</f>
        <v>1.323</v>
      </c>
      <c r="F594" s="45">
        <v>154000</v>
      </c>
      <c r="G594" s="36" t="s">
        <v>555</v>
      </c>
      <c r="H594" s="37"/>
      <c r="I594" s="37"/>
      <c r="J594" s="37"/>
    </row>
    <row r="595" spans="1:10" ht="12.75">
      <c r="A595" s="2" t="s">
        <v>28</v>
      </c>
      <c r="B595" s="20" t="s">
        <v>36</v>
      </c>
      <c r="C595" s="2">
        <v>14</v>
      </c>
      <c r="D595" s="2" t="s">
        <v>8</v>
      </c>
      <c r="E595" s="2">
        <f>0.916-0.348</f>
        <v>0.5680000000000001</v>
      </c>
      <c r="F595" s="45">
        <v>154000</v>
      </c>
      <c r="G595" s="36" t="s">
        <v>452</v>
      </c>
      <c r="H595" s="6"/>
      <c r="I595" s="6"/>
      <c r="J595" s="6"/>
    </row>
    <row r="596" spans="1:10" ht="12.75">
      <c r="A596" s="2" t="s">
        <v>28</v>
      </c>
      <c r="B596" s="20" t="s">
        <v>36</v>
      </c>
      <c r="C596" s="2">
        <v>16</v>
      </c>
      <c r="D596" s="2" t="s">
        <v>8</v>
      </c>
      <c r="E596" s="2">
        <f>0.68-0.072-0.072+1.3-0.035-0.25-0.35-0.324-0.202-0.1</f>
        <v>0.5750000000000005</v>
      </c>
      <c r="F596" s="45">
        <v>154000</v>
      </c>
      <c r="G596" s="36" t="s">
        <v>398</v>
      </c>
      <c r="H596" s="6"/>
      <c r="I596" s="6"/>
      <c r="J596" s="6"/>
    </row>
    <row r="597" spans="1:10" ht="12.75">
      <c r="A597" s="2" t="s">
        <v>28</v>
      </c>
      <c r="B597" s="20" t="s">
        <v>36</v>
      </c>
      <c r="C597" s="2">
        <v>20</v>
      </c>
      <c r="D597" s="2" t="s">
        <v>8</v>
      </c>
      <c r="E597" s="25">
        <f>1.975-0.036-0.252-0.045-0.024</f>
        <v>1.618</v>
      </c>
      <c r="F597" s="45">
        <v>154000</v>
      </c>
      <c r="G597" s="36" t="s">
        <v>398</v>
      </c>
      <c r="H597" s="6"/>
      <c r="I597" s="6"/>
      <c r="J597" s="6"/>
    </row>
    <row r="598" spans="1:10" ht="12.75">
      <c r="A598" s="2" t="s">
        <v>28</v>
      </c>
      <c r="B598" s="20" t="s">
        <v>35</v>
      </c>
      <c r="C598" s="2">
        <v>20</v>
      </c>
      <c r="D598" s="2" t="s">
        <v>8</v>
      </c>
      <c r="E598" s="2">
        <f>1.2-0.01-0.015-0.21-0.205-0.3</f>
        <v>0.46000000000000013</v>
      </c>
      <c r="F598" s="45">
        <v>154000</v>
      </c>
      <c r="G598" s="36" t="s">
        <v>398</v>
      </c>
      <c r="H598" s="6"/>
      <c r="I598" s="6"/>
      <c r="J598" s="6"/>
    </row>
    <row r="599" spans="1:10" ht="12.75">
      <c r="A599" s="2" t="s">
        <v>28</v>
      </c>
      <c r="B599" s="20" t="s">
        <v>36</v>
      </c>
      <c r="C599" s="2">
        <v>30</v>
      </c>
      <c r="D599" s="2" t="s">
        <v>8</v>
      </c>
      <c r="E599" s="2">
        <f>0.752+4.428-0.11-0.1-0.65-0.1-0.265-0.043-1.472-0.033-0.462-0.156-0.03</f>
        <v>1.7589999999999997</v>
      </c>
      <c r="F599" s="45">
        <v>154000</v>
      </c>
      <c r="G599" s="36" t="s">
        <v>552</v>
      </c>
      <c r="H599" s="6"/>
      <c r="I599" s="6"/>
      <c r="J599" s="6"/>
    </row>
    <row r="600" spans="1:10" ht="12.75">
      <c r="A600" s="2" t="s">
        <v>28</v>
      </c>
      <c r="B600" s="20" t="s">
        <v>36</v>
      </c>
      <c r="C600" s="2">
        <v>36</v>
      </c>
      <c r="D600" s="2" t="s">
        <v>8</v>
      </c>
      <c r="E600" s="2">
        <f>0.593-0.114+1.206-0.208-0.028-0.06-0.176-0.112</f>
        <v>1.101</v>
      </c>
      <c r="F600" s="45">
        <v>154000</v>
      </c>
      <c r="G600" s="36" t="s">
        <v>552</v>
      </c>
      <c r="H600" s="6"/>
      <c r="I600" s="6"/>
      <c r="J600" s="6"/>
    </row>
    <row r="601" spans="1:10" ht="12.75">
      <c r="A601" s="2" t="s">
        <v>28</v>
      </c>
      <c r="B601" s="27" t="s">
        <v>36</v>
      </c>
      <c r="C601" s="2">
        <v>40</v>
      </c>
      <c r="D601" s="2" t="s">
        <v>8</v>
      </c>
      <c r="E601" s="25">
        <f>0.121+2.117-0.501-0.15</f>
        <v>1.5870000000000002</v>
      </c>
      <c r="F601" s="45">
        <v>154000</v>
      </c>
      <c r="G601" s="36" t="s">
        <v>552</v>
      </c>
      <c r="H601" s="37" t="s">
        <v>281</v>
      </c>
      <c r="I601" s="71">
        <v>43144</v>
      </c>
      <c r="J601" s="39"/>
    </row>
    <row r="602" spans="1:10" ht="12.75">
      <c r="A602" s="2" t="s">
        <v>28</v>
      </c>
      <c r="B602" s="20" t="s">
        <v>149</v>
      </c>
      <c r="C602" s="2">
        <v>48</v>
      </c>
      <c r="D602" s="2" t="s">
        <v>8</v>
      </c>
      <c r="E602" s="2">
        <f>0.454-0.051-0.044-0.015-0.047</f>
        <v>0.29700000000000004</v>
      </c>
      <c r="F602" s="45">
        <v>320000</v>
      </c>
      <c r="G602" s="36" t="s">
        <v>150</v>
      </c>
      <c r="H602" s="6"/>
      <c r="I602" s="6"/>
      <c r="J602" s="6"/>
    </row>
    <row r="603" spans="1:10" ht="12.75">
      <c r="A603" s="2" t="s">
        <v>28</v>
      </c>
      <c r="B603" s="27" t="s">
        <v>36</v>
      </c>
      <c r="C603" s="2">
        <v>50</v>
      </c>
      <c r="D603" s="2" t="s">
        <v>8</v>
      </c>
      <c r="E603" s="25">
        <f>0.46</f>
        <v>0.46</v>
      </c>
      <c r="F603" s="45">
        <v>154000</v>
      </c>
      <c r="G603" s="36" t="s">
        <v>620</v>
      </c>
      <c r="H603" s="37" t="s">
        <v>281</v>
      </c>
      <c r="I603" s="71">
        <v>43144</v>
      </c>
      <c r="J603" s="6"/>
    </row>
    <row r="604" spans="1:10" ht="12.75">
      <c r="A604" s="2" t="s">
        <v>28</v>
      </c>
      <c r="B604" s="20" t="s">
        <v>35</v>
      </c>
      <c r="C604" s="2">
        <v>58</v>
      </c>
      <c r="D604" s="2" t="s">
        <v>8</v>
      </c>
      <c r="E604" s="2">
        <f>0.093</f>
        <v>0.093</v>
      </c>
      <c r="F604" s="45">
        <v>175000</v>
      </c>
      <c r="G604" s="36" t="s">
        <v>366</v>
      </c>
      <c r="H604" s="6"/>
      <c r="I604" s="6"/>
      <c r="J604" s="6"/>
    </row>
    <row r="605" spans="1:10" s="4" customFormat="1" ht="12.75">
      <c r="A605" s="2" t="s">
        <v>28</v>
      </c>
      <c r="B605" s="27" t="s">
        <v>36</v>
      </c>
      <c r="C605" s="2">
        <v>60</v>
      </c>
      <c r="D605" s="2" t="s">
        <v>8</v>
      </c>
      <c r="E605" s="25">
        <f>2.65-0.7-0.222</f>
        <v>1.728</v>
      </c>
      <c r="F605" s="45">
        <v>154000</v>
      </c>
      <c r="G605" s="36" t="s">
        <v>552</v>
      </c>
      <c r="H605" s="37"/>
      <c r="I605" s="37"/>
      <c r="J605" s="37"/>
    </row>
    <row r="606" spans="1:10" ht="12.75">
      <c r="A606" s="65" t="s">
        <v>28</v>
      </c>
      <c r="B606" s="69" t="s">
        <v>36</v>
      </c>
      <c r="C606" s="65">
        <v>60</v>
      </c>
      <c r="D606" s="65" t="s">
        <v>8</v>
      </c>
      <c r="E606" s="65">
        <f>0.525+0.16</f>
        <v>0.685</v>
      </c>
      <c r="F606" s="67">
        <v>154000</v>
      </c>
      <c r="G606" s="68"/>
      <c r="H606" s="6"/>
      <c r="I606" s="6"/>
      <c r="J606" s="6"/>
    </row>
    <row r="607" spans="1:10" ht="12.75">
      <c r="A607" s="2" t="s">
        <v>28</v>
      </c>
      <c r="B607" s="20" t="s">
        <v>36</v>
      </c>
      <c r="C607" s="2">
        <v>65</v>
      </c>
      <c r="D607" s="2" t="s">
        <v>8</v>
      </c>
      <c r="E607" s="25">
        <f>0.96+1.19-0.204-0.238-0.436-0.12-0.236-0.204-0.088-0.096</f>
        <v>0.5280000000000002</v>
      </c>
      <c r="F607" s="45">
        <v>154000</v>
      </c>
      <c r="G607" s="36" t="s">
        <v>398</v>
      </c>
      <c r="H607" s="6"/>
      <c r="I607" s="6"/>
      <c r="J607" s="6"/>
    </row>
    <row r="608" spans="1:10" s="4" customFormat="1" ht="12.75">
      <c r="A608" s="2" t="s">
        <v>28</v>
      </c>
      <c r="B608" s="20" t="s">
        <v>365</v>
      </c>
      <c r="C608" s="2">
        <v>70</v>
      </c>
      <c r="D608" s="2" t="s">
        <v>8</v>
      </c>
      <c r="E608" s="2">
        <v>0.27</v>
      </c>
      <c r="F608" s="45">
        <v>175000</v>
      </c>
      <c r="G608" s="36" t="s">
        <v>366</v>
      </c>
      <c r="H608" s="6"/>
      <c r="I608" s="6"/>
      <c r="J608" s="6"/>
    </row>
    <row r="609" spans="1:10" s="4" customFormat="1" ht="12.75">
      <c r="A609" s="2" t="s">
        <v>28</v>
      </c>
      <c r="B609" s="20" t="s">
        <v>180</v>
      </c>
      <c r="C609" s="2">
        <v>70</v>
      </c>
      <c r="D609" s="2" t="s">
        <v>8</v>
      </c>
      <c r="E609" s="25">
        <v>0.24</v>
      </c>
      <c r="F609" s="45">
        <v>175000</v>
      </c>
      <c r="G609" s="36" t="s">
        <v>399</v>
      </c>
      <c r="H609" s="6"/>
      <c r="I609" s="6"/>
      <c r="J609" s="6"/>
    </row>
    <row r="610" spans="1:10" ht="12.75">
      <c r="A610" s="2" t="s">
        <v>28</v>
      </c>
      <c r="B610" s="20" t="s">
        <v>36</v>
      </c>
      <c r="C610" s="2">
        <v>70</v>
      </c>
      <c r="D610" s="2" t="s">
        <v>8</v>
      </c>
      <c r="E610" s="2">
        <f>5.095-1.572-1.488-1.49</f>
        <v>0.5449999999999997</v>
      </c>
      <c r="F610" s="45">
        <v>165000</v>
      </c>
      <c r="G610" s="36" t="s">
        <v>466</v>
      </c>
      <c r="H610" s="37"/>
      <c r="I610" s="37"/>
      <c r="J610" s="37"/>
    </row>
    <row r="611" spans="1:10" ht="12.75">
      <c r="A611" s="2" t="s">
        <v>28</v>
      </c>
      <c r="B611" s="20" t="s">
        <v>36</v>
      </c>
      <c r="C611" s="2">
        <v>80</v>
      </c>
      <c r="D611" s="2" t="s">
        <v>8</v>
      </c>
      <c r="E611" s="2">
        <f>2.14-0.265+0.205-0.22</f>
        <v>1.86</v>
      </c>
      <c r="F611" s="45">
        <v>165000</v>
      </c>
      <c r="G611" s="36" t="s">
        <v>552</v>
      </c>
      <c r="H611" s="37"/>
      <c r="I611" s="37"/>
      <c r="J611" s="37"/>
    </row>
    <row r="612" spans="1:10" ht="12.75">
      <c r="A612" s="2" t="s">
        <v>28</v>
      </c>
      <c r="B612" s="20" t="s">
        <v>36</v>
      </c>
      <c r="C612" s="2">
        <v>90</v>
      </c>
      <c r="D612" s="2" t="s">
        <v>8</v>
      </c>
      <c r="E612" s="2">
        <f>2.775-0.25-0.076-0.101-0.286-0.236-0.035-0.262-0.025-0.1</f>
        <v>1.404</v>
      </c>
      <c r="F612" s="45">
        <v>154000</v>
      </c>
      <c r="G612" s="36" t="s">
        <v>552</v>
      </c>
      <c r="H612" s="6"/>
      <c r="I612" s="6"/>
      <c r="J612" s="6"/>
    </row>
    <row r="613" spans="1:10" s="4" customFormat="1" ht="12.75">
      <c r="A613" s="2" t="s">
        <v>28</v>
      </c>
      <c r="B613" s="20" t="s">
        <v>36</v>
      </c>
      <c r="C613" s="2">
        <v>100</v>
      </c>
      <c r="D613" s="2" t="s">
        <v>8</v>
      </c>
      <c r="E613" s="2">
        <f>2.02-0.675-0.998</f>
        <v>0.347</v>
      </c>
      <c r="F613" s="45">
        <v>154000</v>
      </c>
      <c r="G613" s="36" t="s">
        <v>552</v>
      </c>
      <c r="H613" s="37"/>
      <c r="I613" s="37"/>
      <c r="J613" s="37"/>
    </row>
    <row r="614" spans="1:10" ht="12.75">
      <c r="A614" s="2" t="s">
        <v>28</v>
      </c>
      <c r="B614" s="20" t="s">
        <v>35</v>
      </c>
      <c r="C614" s="2">
        <v>100</v>
      </c>
      <c r="D614" s="2" t="s">
        <v>8</v>
      </c>
      <c r="E614" s="2">
        <f>0.296-0.16</f>
        <v>0.13599999999999998</v>
      </c>
      <c r="F614" s="45">
        <v>154000</v>
      </c>
      <c r="G614" s="36" t="s">
        <v>398</v>
      </c>
      <c r="H614" s="6" t="s">
        <v>281</v>
      </c>
      <c r="I614" s="47"/>
      <c r="J614" s="39"/>
    </row>
    <row r="615" spans="1:10" ht="12.75">
      <c r="A615" s="2" t="s">
        <v>28</v>
      </c>
      <c r="B615" s="20" t="s">
        <v>36</v>
      </c>
      <c r="C615" s="2">
        <v>110</v>
      </c>
      <c r="D615" s="2" t="s">
        <v>8</v>
      </c>
      <c r="E615" s="2">
        <f>1.555-0.124-0.03-0.26-0.074-0.315</f>
        <v>0.752</v>
      </c>
      <c r="F615" s="45">
        <v>154000</v>
      </c>
      <c r="G615" s="36" t="s">
        <v>552</v>
      </c>
      <c r="H615" s="37"/>
      <c r="I615" s="37"/>
      <c r="J615" s="37"/>
    </row>
    <row r="616" spans="1:10" s="29" customFormat="1" ht="12.75">
      <c r="A616" s="2" t="s">
        <v>28</v>
      </c>
      <c r="B616" s="20" t="s">
        <v>36</v>
      </c>
      <c r="C616" s="2">
        <v>120</v>
      </c>
      <c r="D616" s="2" t="s">
        <v>8</v>
      </c>
      <c r="E616" s="2">
        <v>1.295</v>
      </c>
      <c r="F616" s="45">
        <v>154000</v>
      </c>
      <c r="G616" s="36" t="s">
        <v>552</v>
      </c>
      <c r="H616" s="37"/>
      <c r="I616" s="37"/>
      <c r="J616" s="37"/>
    </row>
    <row r="617" spans="1:10" s="29" customFormat="1" ht="12.75">
      <c r="A617" s="2" t="s">
        <v>28</v>
      </c>
      <c r="B617" s="27" t="s">
        <v>36</v>
      </c>
      <c r="C617" s="2">
        <v>130</v>
      </c>
      <c r="D617" s="2" t="s">
        <v>8</v>
      </c>
      <c r="E617" s="25">
        <f>1.94-0.592</f>
        <v>1.3479999999999999</v>
      </c>
      <c r="F617" s="45">
        <v>154000</v>
      </c>
      <c r="G617" s="36" t="s">
        <v>552</v>
      </c>
      <c r="H617" s="37"/>
      <c r="I617" s="37"/>
      <c r="J617" s="37"/>
    </row>
    <row r="618" spans="1:10" ht="12.75">
      <c r="A618" s="2" t="s">
        <v>28</v>
      </c>
      <c r="B618" s="27" t="s">
        <v>36</v>
      </c>
      <c r="C618" s="2">
        <v>140</v>
      </c>
      <c r="D618" s="2" t="s">
        <v>8</v>
      </c>
      <c r="E618" s="25">
        <v>2.325</v>
      </c>
      <c r="F618" s="45">
        <v>154000</v>
      </c>
      <c r="G618" s="36" t="s">
        <v>552</v>
      </c>
      <c r="H618" s="37"/>
      <c r="I618" s="37"/>
      <c r="J618" s="37"/>
    </row>
    <row r="619" spans="1:10" ht="12.75">
      <c r="A619" s="2" t="s">
        <v>28</v>
      </c>
      <c r="B619" s="20" t="s">
        <v>36</v>
      </c>
      <c r="C619" s="2">
        <v>150</v>
      </c>
      <c r="D619" s="2" t="s">
        <v>8</v>
      </c>
      <c r="E619" s="2">
        <f>0.316-0.128</f>
        <v>0.188</v>
      </c>
      <c r="F619" s="45">
        <v>154000</v>
      </c>
      <c r="G619" s="36" t="s">
        <v>552</v>
      </c>
      <c r="H619" s="6"/>
      <c r="I619" s="6"/>
      <c r="J619" s="6"/>
    </row>
    <row r="620" spans="1:10" s="4" customFormat="1" ht="12.75">
      <c r="A620" s="2" t="s">
        <v>28</v>
      </c>
      <c r="B620" s="20" t="s">
        <v>35</v>
      </c>
      <c r="C620" s="2">
        <v>150</v>
      </c>
      <c r="D620" s="2" t="s">
        <v>8</v>
      </c>
      <c r="E620" s="2">
        <f>1.052-0.215</f>
        <v>0.8370000000000001</v>
      </c>
      <c r="F620" s="45">
        <v>154000</v>
      </c>
      <c r="G620" s="36" t="s">
        <v>398</v>
      </c>
      <c r="H620" s="6"/>
      <c r="I620" s="6"/>
      <c r="J620" s="6"/>
    </row>
    <row r="621" spans="1:10" s="4" customFormat="1" ht="12.75">
      <c r="A621" s="2" t="s">
        <v>16</v>
      </c>
      <c r="B621" s="27" t="s">
        <v>210</v>
      </c>
      <c r="C621" s="24">
        <v>5</v>
      </c>
      <c r="D621" s="2" t="s">
        <v>8</v>
      </c>
      <c r="E621" s="2">
        <f>0.202-0.043-0.021-0.015-0.01-0.045</f>
        <v>0.06800000000000005</v>
      </c>
      <c r="F621" s="45">
        <v>915000</v>
      </c>
      <c r="G621" s="36" t="s">
        <v>59</v>
      </c>
      <c r="H621" s="6"/>
      <c r="I621" s="6"/>
      <c r="J621" s="6"/>
    </row>
    <row r="622" spans="1:10" s="4" customFormat="1" ht="12.75">
      <c r="A622" s="2" t="s">
        <v>16</v>
      </c>
      <c r="B622" s="20" t="s">
        <v>171</v>
      </c>
      <c r="C622" s="24">
        <v>5</v>
      </c>
      <c r="D622" s="2" t="s">
        <v>8</v>
      </c>
      <c r="E622" s="25">
        <f>(486-10-10-22-2-50-7-5-10-3.5)/1000</f>
        <v>0.3665</v>
      </c>
      <c r="F622" s="45">
        <v>820000</v>
      </c>
      <c r="G622" s="36" t="s">
        <v>336</v>
      </c>
      <c r="H622" s="37"/>
      <c r="I622" s="37"/>
      <c r="J622" s="37"/>
    </row>
    <row r="623" spans="1:10" s="4" customFormat="1" ht="12.75">
      <c r="A623" s="2" t="s">
        <v>16</v>
      </c>
      <c r="B623" s="27" t="s">
        <v>210</v>
      </c>
      <c r="C623" s="24">
        <v>5.5</v>
      </c>
      <c r="D623" s="2" t="s">
        <v>8</v>
      </c>
      <c r="E623" s="25">
        <f>(380-30)/1000</f>
        <v>0.35</v>
      </c>
      <c r="F623" s="45">
        <v>820000</v>
      </c>
      <c r="G623" s="36" t="s">
        <v>470</v>
      </c>
      <c r="H623" s="6"/>
      <c r="I623" s="6"/>
      <c r="J623" s="6"/>
    </row>
    <row r="624" spans="1:10" s="4" customFormat="1" ht="12.75">
      <c r="A624" s="65" t="s">
        <v>16</v>
      </c>
      <c r="B624" s="66" t="s">
        <v>171</v>
      </c>
      <c r="C624" s="74">
        <v>5.5</v>
      </c>
      <c r="D624" s="65" t="s">
        <v>8</v>
      </c>
      <c r="E624" s="65">
        <v>0.4</v>
      </c>
      <c r="F624" s="67" t="s">
        <v>613</v>
      </c>
      <c r="G624" s="68" t="s">
        <v>470</v>
      </c>
      <c r="H624" s="6"/>
      <c r="I624" s="6"/>
      <c r="J624" s="6"/>
    </row>
    <row r="625" spans="1:10" s="4" customFormat="1" ht="12.75">
      <c r="A625" s="2" t="s">
        <v>16</v>
      </c>
      <c r="B625" s="27" t="s">
        <v>210</v>
      </c>
      <c r="C625" s="24">
        <v>6</v>
      </c>
      <c r="D625" s="2" t="s">
        <v>8</v>
      </c>
      <c r="E625" s="25">
        <f>0.17-0.003-0.027</f>
        <v>0.14</v>
      </c>
      <c r="F625" s="45">
        <v>820000</v>
      </c>
      <c r="G625" s="36" t="s">
        <v>432</v>
      </c>
      <c r="H625" s="6"/>
      <c r="I625" s="6"/>
      <c r="J625" s="6"/>
    </row>
    <row r="626" spans="1:10" s="4" customFormat="1" ht="12.75">
      <c r="A626" s="2" t="s">
        <v>16</v>
      </c>
      <c r="B626" s="20" t="s">
        <v>171</v>
      </c>
      <c r="C626" s="24">
        <v>6</v>
      </c>
      <c r="D626" s="2" t="s">
        <v>8</v>
      </c>
      <c r="E626" s="2">
        <f>0.45-0.015-0.01-0.184-0.06</f>
        <v>0.181</v>
      </c>
      <c r="F626" s="45">
        <v>820000</v>
      </c>
      <c r="G626" s="36" t="s">
        <v>59</v>
      </c>
      <c r="H626" s="6"/>
      <c r="I626" s="6"/>
      <c r="J626" s="6"/>
    </row>
    <row r="627" spans="1:10" s="4" customFormat="1" ht="12.75">
      <c r="A627" s="2" t="s">
        <v>16</v>
      </c>
      <c r="B627" s="27" t="s">
        <v>177</v>
      </c>
      <c r="C627" s="2">
        <v>7</v>
      </c>
      <c r="D627" s="2" t="s">
        <v>8</v>
      </c>
      <c r="E627" s="2">
        <f>0.1-0.036-0.006-0.033</f>
        <v>0.025</v>
      </c>
      <c r="F627" s="45">
        <v>270000</v>
      </c>
      <c r="G627" s="36" t="s">
        <v>574</v>
      </c>
      <c r="H627" s="6"/>
      <c r="I627" s="6"/>
      <c r="J627" s="6"/>
    </row>
    <row r="628" spans="1:10" s="4" customFormat="1" ht="12.75">
      <c r="A628" s="2" t="s">
        <v>16</v>
      </c>
      <c r="B628" s="27" t="s">
        <v>210</v>
      </c>
      <c r="C628" s="24">
        <v>7</v>
      </c>
      <c r="D628" s="2" t="s">
        <v>8</v>
      </c>
      <c r="E628" s="25">
        <f>(183-4-8+314-50-20.4-100-100+182-8-4-5-15)/1000</f>
        <v>0.36460000000000004</v>
      </c>
      <c r="F628" s="45">
        <v>820000</v>
      </c>
      <c r="G628" s="36" t="s">
        <v>433</v>
      </c>
      <c r="H628" s="6"/>
      <c r="I628" s="6"/>
      <c r="J628" s="6"/>
    </row>
    <row r="629" spans="1:10" ht="12.75">
      <c r="A629" s="2" t="s">
        <v>16</v>
      </c>
      <c r="B629" s="20" t="s">
        <v>171</v>
      </c>
      <c r="C629" s="24">
        <v>7</v>
      </c>
      <c r="D629" s="2" t="s">
        <v>8</v>
      </c>
      <c r="E629" s="25">
        <f>(2.7)/1000</f>
        <v>0.0027</v>
      </c>
      <c r="F629" s="45">
        <v>0</v>
      </c>
      <c r="G629" s="36" t="s">
        <v>59</v>
      </c>
      <c r="H629" s="5"/>
      <c r="I629" s="5"/>
      <c r="J629" s="5"/>
    </row>
    <row r="630" spans="1:10" s="4" customFormat="1" ht="12.75">
      <c r="A630" s="2" t="s">
        <v>16</v>
      </c>
      <c r="B630" s="27" t="s">
        <v>210</v>
      </c>
      <c r="C630" s="24">
        <v>8</v>
      </c>
      <c r="D630" s="2" t="s">
        <v>8</v>
      </c>
      <c r="E630" s="2">
        <f>0.53-0.04-0.005-0.015-0.106-0.01-0.011-0.011-0.03</f>
        <v>0.30200000000000005</v>
      </c>
      <c r="F630" s="45">
        <v>270000</v>
      </c>
      <c r="G630" s="36" t="s">
        <v>47</v>
      </c>
      <c r="H630" s="6"/>
      <c r="I630" s="6"/>
      <c r="J630" s="6"/>
    </row>
    <row r="631" spans="1:10" ht="12.75">
      <c r="A631" s="2" t="s">
        <v>16</v>
      </c>
      <c r="B631" s="20" t="s">
        <v>209</v>
      </c>
      <c r="C631" s="24">
        <v>8</v>
      </c>
      <c r="D631" s="2" t="s">
        <v>8</v>
      </c>
      <c r="E631" s="2">
        <f>0.6-0.06-0.002</f>
        <v>0.538</v>
      </c>
      <c r="F631" s="45">
        <v>350000</v>
      </c>
      <c r="G631" s="36" t="s">
        <v>39</v>
      </c>
      <c r="H631" s="6"/>
      <c r="I631" s="6"/>
      <c r="J631" s="6"/>
    </row>
    <row r="632" spans="1:10" s="4" customFormat="1" ht="12.75">
      <c r="A632" s="2" t="s">
        <v>16</v>
      </c>
      <c r="B632" s="27" t="s">
        <v>177</v>
      </c>
      <c r="C632" s="24">
        <v>9</v>
      </c>
      <c r="D632" s="2" t="s">
        <v>8</v>
      </c>
      <c r="E632" s="2">
        <f>0.036+0.13-0.026</f>
        <v>0.14</v>
      </c>
      <c r="F632" s="45">
        <v>350000</v>
      </c>
      <c r="G632" s="36" t="s">
        <v>300</v>
      </c>
      <c r="H632" s="6"/>
      <c r="I632" s="6"/>
      <c r="J632" s="6"/>
    </row>
    <row r="633" spans="1:10" ht="12.75">
      <c r="A633" s="2" t="s">
        <v>16</v>
      </c>
      <c r="B633" s="27" t="s">
        <v>210</v>
      </c>
      <c r="C633" s="24">
        <v>9</v>
      </c>
      <c r="D633" s="2" t="s">
        <v>8</v>
      </c>
      <c r="E633" s="25">
        <f>0.374-0.02</f>
        <v>0.354</v>
      </c>
      <c r="F633" s="45">
        <v>820000</v>
      </c>
      <c r="G633" s="36" t="s">
        <v>433</v>
      </c>
      <c r="H633" s="6" t="s">
        <v>245</v>
      </c>
      <c r="I633" s="6"/>
      <c r="J633" s="6"/>
    </row>
    <row r="634" spans="1:10" ht="12.75">
      <c r="A634" s="2" t="s">
        <v>16</v>
      </c>
      <c r="B634" s="20" t="s">
        <v>171</v>
      </c>
      <c r="C634" s="24">
        <v>9</v>
      </c>
      <c r="D634" s="2" t="s">
        <v>8</v>
      </c>
      <c r="E634" s="2">
        <f>0.1-0.037</f>
        <v>0.063</v>
      </c>
      <c r="F634" s="45">
        <v>650000</v>
      </c>
      <c r="G634" s="36" t="s">
        <v>59</v>
      </c>
      <c r="H634" s="6"/>
      <c r="I634" s="6"/>
      <c r="J634" s="6"/>
    </row>
    <row r="635" spans="1:10" s="4" customFormat="1" ht="12.75">
      <c r="A635" s="2" t="s">
        <v>16</v>
      </c>
      <c r="B635" s="20" t="s">
        <v>198</v>
      </c>
      <c r="C635" s="24">
        <v>9</v>
      </c>
      <c r="D635" s="2" t="s">
        <v>8</v>
      </c>
      <c r="E635" s="2">
        <f>0.753-0.025</f>
        <v>0.728</v>
      </c>
      <c r="F635" s="45">
        <v>560000</v>
      </c>
      <c r="G635" s="36" t="s">
        <v>434</v>
      </c>
      <c r="H635" s="6"/>
      <c r="I635" s="6"/>
      <c r="J635" s="6"/>
    </row>
    <row r="636" spans="1:10" s="4" customFormat="1" ht="12.75">
      <c r="A636" s="2" t="s">
        <v>16</v>
      </c>
      <c r="B636" s="27" t="s">
        <v>210</v>
      </c>
      <c r="C636" s="24">
        <v>10</v>
      </c>
      <c r="D636" s="2" t="s">
        <v>8</v>
      </c>
      <c r="E636" s="25">
        <f>(420-10+380-10-8-120-10-10)/1000</f>
        <v>0.632</v>
      </c>
      <c r="F636" s="45">
        <v>520000</v>
      </c>
      <c r="G636" s="36" t="s">
        <v>470</v>
      </c>
      <c r="H636" s="6"/>
      <c r="I636" s="6"/>
      <c r="J636" s="6"/>
    </row>
    <row r="637" spans="1:10" s="4" customFormat="1" ht="12.75">
      <c r="A637" s="2" t="s">
        <v>16</v>
      </c>
      <c r="B637" s="20" t="s">
        <v>171</v>
      </c>
      <c r="C637" s="24">
        <v>10</v>
      </c>
      <c r="D637" s="2" t="s">
        <v>8</v>
      </c>
      <c r="E637" s="2">
        <f>0.92-0.055-0.03-0.029-0.195</f>
        <v>0.611</v>
      </c>
      <c r="F637" s="45">
        <v>579000</v>
      </c>
      <c r="G637" s="36" t="s">
        <v>172</v>
      </c>
      <c r="H637" s="6"/>
      <c r="I637" s="6"/>
      <c r="J637" s="6"/>
    </row>
    <row r="638" spans="1:10" s="4" customFormat="1" ht="12.75">
      <c r="A638" s="2" t="s">
        <v>16</v>
      </c>
      <c r="B638" s="27" t="s">
        <v>210</v>
      </c>
      <c r="C638" s="24">
        <v>12</v>
      </c>
      <c r="D638" s="2" t="s">
        <v>8</v>
      </c>
      <c r="E638" s="2">
        <f>0.37-0.072</f>
        <v>0.298</v>
      </c>
      <c r="F638" s="45">
        <v>490000</v>
      </c>
      <c r="G638" s="36" t="s">
        <v>384</v>
      </c>
      <c r="H638" s="6"/>
      <c r="I638" s="6"/>
      <c r="J638" s="6"/>
    </row>
    <row r="639" spans="1:10" s="4" customFormat="1" ht="12.75">
      <c r="A639" s="2" t="s">
        <v>16</v>
      </c>
      <c r="B639" s="27" t="s">
        <v>210</v>
      </c>
      <c r="C639" s="24">
        <v>12</v>
      </c>
      <c r="D639" s="2" t="s">
        <v>8</v>
      </c>
      <c r="E639" s="25">
        <v>0.079</v>
      </c>
      <c r="F639" s="45">
        <v>530000</v>
      </c>
      <c r="G639" s="36" t="s">
        <v>480</v>
      </c>
      <c r="H639" s="6"/>
      <c r="I639" s="6"/>
      <c r="J639" s="6"/>
    </row>
    <row r="640" spans="1:10" s="4" customFormat="1" ht="11.25" customHeight="1">
      <c r="A640" s="2" t="s">
        <v>16</v>
      </c>
      <c r="B640" s="20" t="s">
        <v>209</v>
      </c>
      <c r="C640" s="24">
        <v>12</v>
      </c>
      <c r="D640" s="2" t="s">
        <v>8</v>
      </c>
      <c r="E640" s="25">
        <f>(246-12-8)/1000</f>
        <v>0.226</v>
      </c>
      <c r="F640" s="45">
        <v>720000</v>
      </c>
      <c r="G640" s="36" t="s">
        <v>479</v>
      </c>
      <c r="H640" s="6"/>
      <c r="I640" s="6"/>
      <c r="J640" s="6"/>
    </row>
    <row r="641" spans="1:10" s="4" customFormat="1" ht="11.25" customHeight="1">
      <c r="A641" s="2" t="s">
        <v>16</v>
      </c>
      <c r="B641" s="20" t="s">
        <v>171</v>
      </c>
      <c r="C641" s="24">
        <v>12</v>
      </c>
      <c r="D641" s="2" t="s">
        <v>8</v>
      </c>
      <c r="E641" s="2">
        <f>(120-17)/1000</f>
        <v>0.103</v>
      </c>
      <c r="F641" s="45">
        <v>579000</v>
      </c>
      <c r="G641" s="36" t="s">
        <v>101</v>
      </c>
      <c r="H641" s="6"/>
      <c r="I641" s="6"/>
      <c r="J641" s="6"/>
    </row>
    <row r="642" spans="1:10" s="4" customFormat="1" ht="12.75">
      <c r="A642" s="2" t="s">
        <v>16</v>
      </c>
      <c r="B642" s="27" t="s">
        <v>210</v>
      </c>
      <c r="C642" s="24">
        <v>13</v>
      </c>
      <c r="D642" s="2" t="s">
        <v>8</v>
      </c>
      <c r="E642" s="2">
        <f>0.3-0.006+0.258-0.207-0.025</f>
        <v>0.32000000000000006</v>
      </c>
      <c r="F642" s="45">
        <v>510000</v>
      </c>
      <c r="G642" s="36" t="s">
        <v>101</v>
      </c>
      <c r="H642" s="6"/>
      <c r="I642" s="6"/>
      <c r="J642" s="6"/>
    </row>
    <row r="643" spans="1:10" s="4" customFormat="1" ht="12.75">
      <c r="A643" s="2" t="s">
        <v>16</v>
      </c>
      <c r="B643" s="20" t="s">
        <v>171</v>
      </c>
      <c r="C643" s="24">
        <v>13</v>
      </c>
      <c r="D643" s="2" t="s">
        <v>8</v>
      </c>
      <c r="E643" s="2">
        <f>0.25-0.023-0.062</f>
        <v>0.165</v>
      </c>
      <c r="F643" s="45">
        <v>550000</v>
      </c>
      <c r="G643" s="36" t="s">
        <v>101</v>
      </c>
      <c r="H643" s="6"/>
      <c r="I643" s="6"/>
      <c r="J643" s="6"/>
    </row>
    <row r="644" spans="1:10" s="4" customFormat="1" ht="12.75">
      <c r="A644" s="2" t="s">
        <v>16</v>
      </c>
      <c r="B644" s="27" t="s">
        <v>177</v>
      </c>
      <c r="C644" s="2">
        <v>14</v>
      </c>
      <c r="D644" s="2" t="s">
        <v>8</v>
      </c>
      <c r="E644" s="2">
        <f>1.94-0.008-0.01-0.016</f>
        <v>1.906</v>
      </c>
      <c r="F644" s="45">
        <v>245000</v>
      </c>
      <c r="G644" s="36" t="s">
        <v>308</v>
      </c>
      <c r="H644" s="6"/>
      <c r="I644" s="6"/>
      <c r="J644" s="6"/>
    </row>
    <row r="645" spans="1:10" s="4" customFormat="1" ht="12.75">
      <c r="A645" s="2" t="s">
        <v>16</v>
      </c>
      <c r="B645" s="27" t="s">
        <v>213</v>
      </c>
      <c r="C645" s="24">
        <v>14</v>
      </c>
      <c r="D645" s="2" t="s">
        <v>8</v>
      </c>
      <c r="E645" s="25">
        <v>0.041</v>
      </c>
      <c r="F645" s="45">
        <v>670000</v>
      </c>
      <c r="G645" s="36" t="s">
        <v>374</v>
      </c>
      <c r="H645" s="6"/>
      <c r="I645" s="6"/>
      <c r="J645" s="6"/>
    </row>
    <row r="646" spans="1:10" s="4" customFormat="1" ht="12.75">
      <c r="A646" s="2" t="s">
        <v>16</v>
      </c>
      <c r="B646" s="27" t="s">
        <v>210</v>
      </c>
      <c r="C646" s="24">
        <v>14</v>
      </c>
      <c r="D646" s="2" t="s">
        <v>8</v>
      </c>
      <c r="E646" s="2">
        <f>0.15-0.029-0.008-0.051-0.023</f>
        <v>0.03899999999999999</v>
      </c>
      <c r="F646" s="45">
        <v>475000</v>
      </c>
      <c r="G646" s="36" t="s">
        <v>89</v>
      </c>
      <c r="H646" s="6"/>
      <c r="I646" s="6"/>
      <c r="J646" s="6"/>
    </row>
    <row r="647" spans="1:10" ht="12.75">
      <c r="A647" s="2" t="s">
        <v>16</v>
      </c>
      <c r="B647" s="27" t="s">
        <v>210</v>
      </c>
      <c r="C647" s="24">
        <v>14</v>
      </c>
      <c r="D647" s="2" t="s">
        <v>8</v>
      </c>
      <c r="E647" s="2">
        <f>0.26+0.504-0.16-0.021-0.15-0.021+0.054-0.017-0.007-0.025-0.05+0.11-0.15</f>
        <v>0.32699999999999985</v>
      </c>
      <c r="F647" s="45">
        <v>340000</v>
      </c>
      <c r="G647" s="36" t="s">
        <v>271</v>
      </c>
      <c r="H647" s="6"/>
      <c r="I647" s="6"/>
      <c r="J647" s="6"/>
    </row>
    <row r="648" spans="1:10" ht="12.75">
      <c r="A648" s="2" t="s">
        <v>16</v>
      </c>
      <c r="B648" s="20" t="s">
        <v>171</v>
      </c>
      <c r="C648" s="24">
        <v>14</v>
      </c>
      <c r="D648" s="2" t="s">
        <v>8</v>
      </c>
      <c r="E648" s="2">
        <f>0.109+0.2-0.017-0.09</f>
        <v>0.20199999999999999</v>
      </c>
      <c r="F648" s="45">
        <v>510000</v>
      </c>
      <c r="G648" s="36" t="s">
        <v>101</v>
      </c>
      <c r="H648" s="6"/>
      <c r="I648" s="6"/>
      <c r="J648" s="6"/>
    </row>
    <row r="649" spans="1:10" s="4" customFormat="1" ht="12.75">
      <c r="A649" s="2" t="s">
        <v>16</v>
      </c>
      <c r="B649" s="27" t="s">
        <v>210</v>
      </c>
      <c r="C649" s="24">
        <v>17</v>
      </c>
      <c r="D649" s="2" t="s">
        <v>8</v>
      </c>
      <c r="E649" s="2">
        <f>0.15+0.27-0.017-0.07</f>
        <v>0.333</v>
      </c>
      <c r="F649" s="45">
        <v>530000</v>
      </c>
      <c r="G649" s="36" t="s">
        <v>89</v>
      </c>
      <c r="H649" s="6"/>
      <c r="I649" s="6"/>
      <c r="J649" s="6"/>
    </row>
    <row r="650" spans="1:10" ht="12.75">
      <c r="A650" s="2" t="s">
        <v>16</v>
      </c>
      <c r="B650" s="27" t="s">
        <v>210</v>
      </c>
      <c r="C650" s="24">
        <v>17</v>
      </c>
      <c r="D650" s="2" t="s">
        <v>8</v>
      </c>
      <c r="E650" s="2">
        <f>0.21-0.139-0.02-0.007-0.02</f>
        <v>0.023999999999999976</v>
      </c>
      <c r="F650" s="45">
        <v>400000</v>
      </c>
      <c r="G650" s="36" t="s">
        <v>101</v>
      </c>
      <c r="H650" s="6"/>
      <c r="I650" s="6"/>
      <c r="J650" s="6"/>
    </row>
    <row r="651" spans="1:10" ht="12.75">
      <c r="A651" s="2" t="s">
        <v>16</v>
      </c>
      <c r="B651" s="20" t="s">
        <v>171</v>
      </c>
      <c r="C651" s="24">
        <v>17</v>
      </c>
      <c r="D651" s="2" t="s">
        <v>8</v>
      </c>
      <c r="E651" s="2">
        <f>0.338-0.159-0.015-0.025-0.008</f>
        <v>0.13100000000000003</v>
      </c>
      <c r="F651" s="45">
        <v>510000</v>
      </c>
      <c r="G651" s="36" t="s">
        <v>101</v>
      </c>
      <c r="H651" s="6"/>
      <c r="I651" s="6"/>
      <c r="J651" s="6"/>
    </row>
    <row r="652" spans="1:10" s="4" customFormat="1" ht="12.75">
      <c r="A652" s="2" t="s">
        <v>16</v>
      </c>
      <c r="B652" s="20" t="s">
        <v>217</v>
      </c>
      <c r="C652" s="24">
        <v>19</v>
      </c>
      <c r="D652" s="2" t="s">
        <v>8</v>
      </c>
      <c r="E652" s="25">
        <v>0.055</v>
      </c>
      <c r="F652" s="45">
        <v>740000</v>
      </c>
      <c r="G652" s="36" t="s">
        <v>299</v>
      </c>
      <c r="H652" s="6"/>
      <c r="I652" s="6"/>
      <c r="J652" s="6"/>
    </row>
    <row r="653" spans="1:10" s="4" customFormat="1" ht="12.75">
      <c r="A653" s="2" t="s">
        <v>16</v>
      </c>
      <c r="B653" s="27" t="s">
        <v>210</v>
      </c>
      <c r="C653" s="24">
        <v>19</v>
      </c>
      <c r="D653" s="2" t="s">
        <v>8</v>
      </c>
      <c r="E653" s="2">
        <f>0.264-0.097+0.252-0.101-0.06-0.155</f>
        <v>0.10300000000000006</v>
      </c>
      <c r="F653" s="45">
        <v>400000</v>
      </c>
      <c r="G653" s="36" t="s">
        <v>101</v>
      </c>
      <c r="H653" s="6"/>
      <c r="I653" s="6"/>
      <c r="J653" s="6"/>
    </row>
    <row r="654" spans="1:10" s="4" customFormat="1" ht="12.75">
      <c r="A654" s="2" t="s">
        <v>16</v>
      </c>
      <c r="B654" s="27" t="s">
        <v>210</v>
      </c>
      <c r="C654" s="24">
        <v>19</v>
      </c>
      <c r="D654" s="2" t="s">
        <v>8</v>
      </c>
      <c r="E654" s="25">
        <v>0.257</v>
      </c>
      <c r="F654" s="45">
        <v>530000</v>
      </c>
      <c r="G654" s="36" t="s">
        <v>480</v>
      </c>
      <c r="H654" s="6"/>
      <c r="I654" s="6"/>
      <c r="J654" s="6"/>
    </row>
    <row r="655" spans="1:10" s="4" customFormat="1" ht="12.75">
      <c r="A655" s="2" t="s">
        <v>16</v>
      </c>
      <c r="B655" s="20" t="s">
        <v>171</v>
      </c>
      <c r="C655" s="24">
        <v>19</v>
      </c>
      <c r="D655" s="2" t="s">
        <v>8</v>
      </c>
      <c r="E655" s="2">
        <f>0.302-0.037-0.015+0.221-0.045+0.07-0.047-0.005-0.05-0.03-0.04+0.7-0.045</f>
        <v>0.979</v>
      </c>
      <c r="F655" s="45">
        <v>510000</v>
      </c>
      <c r="G655" s="36" t="s">
        <v>101</v>
      </c>
      <c r="H655" s="6"/>
      <c r="I655" s="6"/>
      <c r="J655" s="6"/>
    </row>
    <row r="656" spans="1:10" s="4" customFormat="1" ht="12.75">
      <c r="A656" s="2" t="s">
        <v>16</v>
      </c>
      <c r="B656" s="20" t="s">
        <v>217</v>
      </c>
      <c r="C656" s="24">
        <v>22</v>
      </c>
      <c r="D656" s="2" t="s">
        <v>8</v>
      </c>
      <c r="E656" s="25">
        <v>0.059</v>
      </c>
      <c r="F656" s="45">
        <v>740000</v>
      </c>
      <c r="G656" s="36" t="s">
        <v>299</v>
      </c>
      <c r="H656" s="6"/>
      <c r="I656" s="6"/>
      <c r="J656" s="6"/>
    </row>
    <row r="657" spans="1:10" s="4" customFormat="1" ht="12.75">
      <c r="A657" s="2" t="s">
        <v>16</v>
      </c>
      <c r="B657" s="20" t="s">
        <v>171</v>
      </c>
      <c r="C657" s="24">
        <v>22</v>
      </c>
      <c r="D657" s="2" t="s">
        <v>8</v>
      </c>
      <c r="E657" s="2">
        <f>0.3-0.003-0.02-0.053-0.016-0.03</f>
        <v>0.17799999999999996</v>
      </c>
      <c r="F657" s="45">
        <v>510000</v>
      </c>
      <c r="G657" s="36" t="s">
        <v>101</v>
      </c>
      <c r="H657" s="6"/>
      <c r="I657" s="6"/>
      <c r="J657" s="6"/>
    </row>
    <row r="658" spans="1:10" ht="12.75">
      <c r="A658" s="2" t="s">
        <v>16</v>
      </c>
      <c r="B658" s="23" t="s">
        <v>78</v>
      </c>
      <c r="C658" s="24">
        <v>22</v>
      </c>
      <c r="D658" s="2" t="s">
        <v>8</v>
      </c>
      <c r="E658" s="25">
        <f>0.006</f>
        <v>0.006</v>
      </c>
      <c r="F658" s="45">
        <v>2000000</v>
      </c>
      <c r="G658" s="36" t="s">
        <v>241</v>
      </c>
      <c r="H658" s="6"/>
      <c r="I658" s="6"/>
      <c r="J658" s="6"/>
    </row>
    <row r="659" spans="1:10" ht="12.75">
      <c r="A659" s="2" t="s">
        <v>16</v>
      </c>
      <c r="B659" s="20" t="s">
        <v>201</v>
      </c>
      <c r="C659" s="2">
        <v>22</v>
      </c>
      <c r="D659" s="2" t="s">
        <v>8</v>
      </c>
      <c r="E659" s="25">
        <f>0.0229</f>
        <v>0.0229</v>
      </c>
      <c r="F659" s="45">
        <v>400000</v>
      </c>
      <c r="G659" s="36"/>
      <c r="H659" s="6"/>
      <c r="I659" s="6"/>
      <c r="J659" s="6"/>
    </row>
    <row r="660" spans="1:10" ht="12.75">
      <c r="A660" s="2" t="s">
        <v>16</v>
      </c>
      <c r="B660" s="27" t="s">
        <v>213</v>
      </c>
      <c r="C660" s="24">
        <v>24</v>
      </c>
      <c r="D660" s="2" t="s">
        <v>8</v>
      </c>
      <c r="E660" s="25">
        <v>0.0274</v>
      </c>
      <c r="F660" s="45">
        <v>670000</v>
      </c>
      <c r="G660" s="36"/>
      <c r="H660" s="6"/>
      <c r="I660" s="6"/>
      <c r="J660" s="6"/>
    </row>
    <row r="661" spans="1:10" s="4" customFormat="1" ht="12.75">
      <c r="A661" s="2" t="s">
        <v>16</v>
      </c>
      <c r="B661" s="27" t="s">
        <v>210</v>
      </c>
      <c r="C661" s="24">
        <v>24</v>
      </c>
      <c r="D661" s="2" t="s">
        <v>8</v>
      </c>
      <c r="E661" s="2">
        <f>0.044+0.09+0.2-0.049+0.239</f>
        <v>0.524</v>
      </c>
      <c r="F661" s="45">
        <v>400000</v>
      </c>
      <c r="G661" s="36" t="s">
        <v>101</v>
      </c>
      <c r="H661" s="6"/>
      <c r="I661" s="6"/>
      <c r="J661" s="6"/>
    </row>
    <row r="662" spans="1:10" s="4" customFormat="1" ht="12.75">
      <c r="A662" s="2" t="s">
        <v>16</v>
      </c>
      <c r="B662" s="20" t="s">
        <v>209</v>
      </c>
      <c r="C662" s="24">
        <v>24</v>
      </c>
      <c r="D662" s="2" t="s">
        <v>8</v>
      </c>
      <c r="E662" s="25">
        <f>0.105-0.049-0.0128-0.028</f>
        <v>0.015199999999999995</v>
      </c>
      <c r="F662" s="45">
        <v>720000</v>
      </c>
      <c r="G662" s="36" t="s">
        <v>479</v>
      </c>
      <c r="H662" s="6"/>
      <c r="I662" s="6"/>
      <c r="J662" s="6"/>
    </row>
    <row r="663" spans="1:10" s="4" customFormat="1" ht="12.75">
      <c r="A663" s="2" t="s">
        <v>16</v>
      </c>
      <c r="B663" s="20" t="s">
        <v>171</v>
      </c>
      <c r="C663" s="24">
        <v>24</v>
      </c>
      <c r="D663" s="2" t="s">
        <v>8</v>
      </c>
      <c r="E663" s="2">
        <f>0.36-0.006-0.035-0.061-0.074</f>
        <v>0.18399999999999994</v>
      </c>
      <c r="F663" s="45">
        <v>510000</v>
      </c>
      <c r="G663" s="36" t="s">
        <v>435</v>
      </c>
      <c r="H663" s="6"/>
      <c r="I663" s="6"/>
      <c r="J663" s="6"/>
    </row>
    <row r="664" spans="1:10" s="4" customFormat="1" ht="12.75">
      <c r="A664" s="2" t="s">
        <v>16</v>
      </c>
      <c r="B664" s="27" t="s">
        <v>213</v>
      </c>
      <c r="C664" s="24">
        <v>27</v>
      </c>
      <c r="D664" s="2" t="s">
        <v>8</v>
      </c>
      <c r="E664" s="25">
        <f>0.153+0.018</f>
        <v>0.17099999999999999</v>
      </c>
      <c r="F664" s="45">
        <v>670000</v>
      </c>
      <c r="G664" s="36" t="s">
        <v>375</v>
      </c>
      <c r="H664" s="6"/>
      <c r="I664" s="6"/>
      <c r="J664" s="6"/>
    </row>
    <row r="665" spans="1:10" s="4" customFormat="1" ht="12.75">
      <c r="A665" s="2" t="s">
        <v>16</v>
      </c>
      <c r="B665" s="27" t="s">
        <v>210</v>
      </c>
      <c r="C665" s="24">
        <v>27</v>
      </c>
      <c r="D665" s="2" t="s">
        <v>8</v>
      </c>
      <c r="E665" s="2">
        <f>0.28+0.34</f>
        <v>0.6200000000000001</v>
      </c>
      <c r="F665" s="45">
        <v>476000</v>
      </c>
      <c r="G665" s="36" t="s">
        <v>384</v>
      </c>
      <c r="H665" s="28"/>
      <c r="I665" s="28"/>
      <c r="J665" s="28"/>
    </row>
    <row r="666" spans="1:10" s="4" customFormat="1" ht="12.75">
      <c r="A666" s="2" t="s">
        <v>16</v>
      </c>
      <c r="B666" s="20" t="s">
        <v>171</v>
      </c>
      <c r="C666" s="24">
        <v>27</v>
      </c>
      <c r="D666" s="2" t="s">
        <v>8</v>
      </c>
      <c r="E666" s="2">
        <f>0.027+0.468-0.18</f>
        <v>0.31500000000000006</v>
      </c>
      <c r="F666" s="45">
        <v>510000</v>
      </c>
      <c r="G666" s="36" t="s">
        <v>101</v>
      </c>
      <c r="H666" s="28"/>
      <c r="I666" s="28"/>
      <c r="J666" s="28"/>
    </row>
    <row r="667" spans="1:10" s="4" customFormat="1" ht="12.75">
      <c r="A667" s="2" t="s">
        <v>16</v>
      </c>
      <c r="B667" s="27" t="s">
        <v>177</v>
      </c>
      <c r="C667" s="24">
        <v>30</v>
      </c>
      <c r="D667" s="2" t="s">
        <v>8</v>
      </c>
      <c r="E667" s="2">
        <v>0.165</v>
      </c>
      <c r="F667" s="45">
        <v>290000</v>
      </c>
      <c r="G667" s="36" t="s">
        <v>270</v>
      </c>
      <c r="H667" s="6"/>
      <c r="I667" s="6"/>
      <c r="J667" s="6"/>
    </row>
    <row r="668" spans="1:10" s="4" customFormat="1" ht="12.75">
      <c r="A668" s="2" t="s">
        <v>16</v>
      </c>
      <c r="B668" s="27" t="s">
        <v>210</v>
      </c>
      <c r="C668" s="24">
        <v>30</v>
      </c>
      <c r="D668" s="2" t="s">
        <v>8</v>
      </c>
      <c r="E668" s="2">
        <f>0.25+0.08-0.019</f>
        <v>0.311</v>
      </c>
      <c r="F668" s="45">
        <v>400000</v>
      </c>
      <c r="G668" s="36" t="s">
        <v>101</v>
      </c>
      <c r="H668" s="6" t="s">
        <v>233</v>
      </c>
      <c r="I668" s="6"/>
      <c r="J668" s="6"/>
    </row>
    <row r="669" spans="1:10" s="4" customFormat="1" ht="12.75">
      <c r="A669" s="2" t="s">
        <v>16</v>
      </c>
      <c r="B669" s="20" t="s">
        <v>171</v>
      </c>
      <c r="C669" s="24">
        <v>30</v>
      </c>
      <c r="D669" s="2" t="s">
        <v>8</v>
      </c>
      <c r="E669" s="2">
        <v>0.351</v>
      </c>
      <c r="F669" s="45">
        <v>410000</v>
      </c>
      <c r="G669" s="36" t="s">
        <v>101</v>
      </c>
      <c r="H669" s="6"/>
      <c r="I669" s="6"/>
      <c r="J669" s="6"/>
    </row>
    <row r="670" spans="1:10" s="4" customFormat="1" ht="12.75">
      <c r="A670" s="2" t="s">
        <v>16</v>
      </c>
      <c r="B670" s="27" t="s">
        <v>210</v>
      </c>
      <c r="C670" s="24">
        <v>32</v>
      </c>
      <c r="D670" s="2" t="s">
        <v>8</v>
      </c>
      <c r="E670" s="2">
        <f>0.52-0.021</f>
        <v>0.499</v>
      </c>
      <c r="F670" s="45">
        <v>400000</v>
      </c>
      <c r="G670" s="36" t="s">
        <v>101</v>
      </c>
      <c r="H670" s="6"/>
      <c r="I670" s="6"/>
      <c r="J670" s="6"/>
    </row>
    <row r="671" spans="1:10" s="4" customFormat="1" ht="12.75">
      <c r="A671" s="2" t="s">
        <v>16</v>
      </c>
      <c r="B671" s="20" t="s">
        <v>171</v>
      </c>
      <c r="C671" s="24">
        <v>32</v>
      </c>
      <c r="D671" s="2" t="s">
        <v>8</v>
      </c>
      <c r="E671" s="2">
        <f>0.323-0.05</f>
        <v>0.273</v>
      </c>
      <c r="F671" s="45">
        <v>510000</v>
      </c>
      <c r="G671" s="36" t="s">
        <v>304</v>
      </c>
      <c r="H671" s="6"/>
      <c r="I671" s="6"/>
      <c r="J671" s="6"/>
    </row>
    <row r="672" spans="1:10" s="4" customFormat="1" ht="12.75">
      <c r="A672" s="2" t="s">
        <v>16</v>
      </c>
      <c r="B672" s="27" t="s">
        <v>177</v>
      </c>
      <c r="C672" s="24">
        <v>36</v>
      </c>
      <c r="D672" s="2" t="s">
        <v>8</v>
      </c>
      <c r="E672" s="2">
        <v>0.137</v>
      </c>
      <c r="F672" s="45">
        <v>290000</v>
      </c>
      <c r="G672" s="36" t="s">
        <v>269</v>
      </c>
      <c r="H672" s="6"/>
      <c r="I672" s="6"/>
      <c r="J672" s="6"/>
    </row>
    <row r="673" spans="1:10" s="4" customFormat="1" ht="12.75">
      <c r="A673" s="2" t="s">
        <v>16</v>
      </c>
      <c r="B673" s="27" t="s">
        <v>213</v>
      </c>
      <c r="C673" s="24">
        <v>36</v>
      </c>
      <c r="D673" s="2" t="s">
        <v>8</v>
      </c>
      <c r="E673" s="31">
        <f>0.0294</f>
        <v>0.0294</v>
      </c>
      <c r="F673" s="45">
        <v>670000</v>
      </c>
      <c r="G673" s="36" t="s">
        <v>374</v>
      </c>
      <c r="H673" s="6"/>
      <c r="I673" s="6"/>
      <c r="J673" s="6"/>
    </row>
    <row r="674" spans="1:10" s="4" customFormat="1" ht="12.75">
      <c r="A674" s="2" t="s">
        <v>16</v>
      </c>
      <c r="B674" s="27" t="s">
        <v>210</v>
      </c>
      <c r="C674" s="24">
        <v>36</v>
      </c>
      <c r="D674" s="2" t="s">
        <v>8</v>
      </c>
      <c r="E674" s="2">
        <f>0.322-0.142-0.05</f>
        <v>0.13</v>
      </c>
      <c r="F674" s="45">
        <v>400000</v>
      </c>
      <c r="G674" s="36" t="s">
        <v>101</v>
      </c>
      <c r="H674" s="6"/>
      <c r="I674" s="6"/>
      <c r="J674" s="6"/>
    </row>
    <row r="675" spans="1:10" s="4" customFormat="1" ht="12.75">
      <c r="A675" s="2" t="s">
        <v>16</v>
      </c>
      <c r="B675" s="27" t="s">
        <v>210</v>
      </c>
      <c r="C675" s="24">
        <v>36</v>
      </c>
      <c r="D675" s="2" t="s">
        <v>8</v>
      </c>
      <c r="E675" s="25">
        <v>0.065</v>
      </c>
      <c r="F675" s="45">
        <v>530000</v>
      </c>
      <c r="G675" s="36" t="s">
        <v>480</v>
      </c>
      <c r="H675" s="6"/>
      <c r="I675" s="6"/>
      <c r="J675" s="6"/>
    </row>
    <row r="676" spans="1:10" s="4" customFormat="1" ht="12.75">
      <c r="A676" s="2" t="s">
        <v>16</v>
      </c>
      <c r="B676" s="20" t="s">
        <v>171</v>
      </c>
      <c r="C676" s="24">
        <v>36</v>
      </c>
      <c r="D676" s="2" t="s">
        <v>8</v>
      </c>
      <c r="E676" s="2">
        <f>0.314-0.15-0.011-0.032-0.034-0.044+0.165-0.036</f>
        <v>0.17200000000000001</v>
      </c>
      <c r="F676" s="45">
        <v>510000</v>
      </c>
      <c r="G676" s="36" t="s">
        <v>101</v>
      </c>
      <c r="H676" s="6"/>
      <c r="I676" s="6"/>
      <c r="J676" s="6"/>
    </row>
    <row r="677" spans="1:10" s="4" customFormat="1" ht="12.75">
      <c r="A677" s="2" t="s">
        <v>16</v>
      </c>
      <c r="B677" s="27" t="s">
        <v>210</v>
      </c>
      <c r="C677" s="24">
        <v>41</v>
      </c>
      <c r="D677" s="2" t="s">
        <v>8</v>
      </c>
      <c r="E677" s="2">
        <f>(31+48+50)/1000</f>
        <v>0.129</v>
      </c>
      <c r="F677" s="45">
        <v>400000</v>
      </c>
      <c r="G677" s="36" t="s">
        <v>101</v>
      </c>
      <c r="H677" s="6"/>
      <c r="I677" s="6"/>
      <c r="J677" s="6"/>
    </row>
    <row r="678" spans="1:10" s="4" customFormat="1" ht="12.75">
      <c r="A678" s="2" t="s">
        <v>16</v>
      </c>
      <c r="B678" s="20" t="s">
        <v>209</v>
      </c>
      <c r="C678" s="24">
        <v>41</v>
      </c>
      <c r="D678" s="2" t="s">
        <v>8</v>
      </c>
      <c r="E678" s="25">
        <v>0.109</v>
      </c>
      <c r="F678" s="45">
        <v>720000</v>
      </c>
      <c r="G678" s="36" t="s">
        <v>479</v>
      </c>
      <c r="H678" s="6"/>
      <c r="I678" s="6"/>
      <c r="J678" s="6"/>
    </row>
    <row r="679" spans="1:10" s="4" customFormat="1" ht="12.75">
      <c r="A679" s="2" t="s">
        <v>16</v>
      </c>
      <c r="B679" s="20" t="s">
        <v>209</v>
      </c>
      <c r="C679" s="24">
        <v>46</v>
      </c>
      <c r="D679" s="2" t="s">
        <v>8</v>
      </c>
      <c r="E679" s="25">
        <f>(1034-290)/1000</f>
        <v>0.744</v>
      </c>
      <c r="F679" s="45">
        <v>720000</v>
      </c>
      <c r="G679" s="36" t="s">
        <v>478</v>
      </c>
      <c r="H679" s="6"/>
      <c r="I679" s="6"/>
      <c r="J679" s="6"/>
    </row>
    <row r="680" spans="1:10" s="4" customFormat="1" ht="12.75">
      <c r="A680" s="2" t="s">
        <v>16</v>
      </c>
      <c r="B680" s="20" t="s">
        <v>209</v>
      </c>
      <c r="C680" s="24">
        <v>50</v>
      </c>
      <c r="D680" s="2" t="s">
        <v>8</v>
      </c>
      <c r="E680" s="25">
        <v>0.92</v>
      </c>
      <c r="F680" s="45">
        <v>720000</v>
      </c>
      <c r="G680" s="36" t="s">
        <v>478</v>
      </c>
      <c r="H680" s="6" t="s">
        <v>285</v>
      </c>
      <c r="I680" s="46">
        <v>43084</v>
      </c>
      <c r="J680" s="6"/>
    </row>
    <row r="681" spans="1:10" s="4" customFormat="1" ht="12.75">
      <c r="A681" s="2" t="s">
        <v>16</v>
      </c>
      <c r="B681" s="20" t="s">
        <v>171</v>
      </c>
      <c r="C681" s="24">
        <v>50</v>
      </c>
      <c r="D681" s="2" t="s">
        <v>8</v>
      </c>
      <c r="E681" s="2">
        <f>0.025</f>
        <v>0.025</v>
      </c>
      <c r="F681" s="45">
        <v>540000</v>
      </c>
      <c r="G681" s="36" t="s">
        <v>101</v>
      </c>
      <c r="H681" s="6"/>
      <c r="I681" s="6"/>
      <c r="J681" s="6"/>
    </row>
    <row r="682" spans="1:10" s="4" customFormat="1" ht="12.75">
      <c r="A682" s="2" t="s">
        <v>16</v>
      </c>
      <c r="B682" s="20" t="s">
        <v>171</v>
      </c>
      <c r="C682" s="24">
        <v>55</v>
      </c>
      <c r="D682" s="2" t="s">
        <v>8</v>
      </c>
      <c r="E682" s="2">
        <v>1.02</v>
      </c>
      <c r="F682" s="45">
        <v>690000</v>
      </c>
      <c r="G682" s="86" t="s">
        <v>471</v>
      </c>
      <c r="H682" s="6"/>
      <c r="I682" s="6"/>
      <c r="J682" s="6"/>
    </row>
    <row r="683" spans="1:10" ht="12.75">
      <c r="A683" s="2" t="s">
        <v>467</v>
      </c>
      <c r="B683" s="20" t="s">
        <v>61</v>
      </c>
      <c r="C683" s="2">
        <v>5</v>
      </c>
      <c r="D683" s="2" t="s">
        <v>8</v>
      </c>
      <c r="E683" s="2">
        <f>2.294-0.05-0.1-0.2-0.1-0.1-0.01-0.03-0.05-0.1-0.05-0.01-0.075-0.01-0.117-0.097</f>
        <v>1.1949999999999998</v>
      </c>
      <c r="F683" s="45">
        <v>158000</v>
      </c>
      <c r="G683" s="36"/>
      <c r="H683" s="6"/>
      <c r="I683" s="6"/>
      <c r="J683" s="6"/>
    </row>
    <row r="684" spans="1:10" s="3" customFormat="1" ht="12.75">
      <c r="A684" s="2" t="s">
        <v>467</v>
      </c>
      <c r="B684" s="27" t="s">
        <v>1</v>
      </c>
      <c r="C684" s="82">
        <v>5</v>
      </c>
      <c r="D684" s="2" t="s">
        <v>8</v>
      </c>
      <c r="E684" s="2">
        <f>(515-21-118-20-20-15-50)/1000</f>
        <v>0.271</v>
      </c>
      <c r="F684" s="45">
        <v>210000</v>
      </c>
      <c r="G684" s="36" t="s">
        <v>322</v>
      </c>
      <c r="H684" s="6"/>
      <c r="I684" s="6"/>
      <c r="J684" s="6"/>
    </row>
    <row r="685" spans="1:10" s="3" customFormat="1" ht="12.75">
      <c r="A685" s="2" t="s">
        <v>467</v>
      </c>
      <c r="B685" s="23" t="s">
        <v>20</v>
      </c>
      <c r="C685" s="24">
        <v>5.5</v>
      </c>
      <c r="D685" s="2" t="s">
        <v>8</v>
      </c>
      <c r="E685" s="2">
        <f>0.057</f>
        <v>0.057</v>
      </c>
      <c r="F685" s="45">
        <v>220000</v>
      </c>
      <c r="G685" s="6"/>
      <c r="H685" s="6"/>
      <c r="I685" s="6"/>
      <c r="J685" s="6"/>
    </row>
    <row r="686" spans="1:10" s="3" customFormat="1" ht="12.75">
      <c r="A686" s="2" t="s">
        <v>467</v>
      </c>
      <c r="B686" s="89" t="s">
        <v>1</v>
      </c>
      <c r="C686" s="82">
        <v>5.5</v>
      </c>
      <c r="D686" s="2" t="s">
        <v>8</v>
      </c>
      <c r="E686" s="2">
        <f>(72+530-6-60)/1000</f>
        <v>0.536</v>
      </c>
      <c r="F686" s="45">
        <v>210000</v>
      </c>
      <c r="G686" s="36" t="s">
        <v>268</v>
      </c>
      <c r="H686" s="37"/>
      <c r="I686" s="37"/>
      <c r="J686" s="37"/>
    </row>
    <row r="687" spans="1:10" ht="12.75">
      <c r="A687" s="2" t="s">
        <v>467</v>
      </c>
      <c r="B687" s="27" t="s">
        <v>1</v>
      </c>
      <c r="C687" s="82">
        <v>6</v>
      </c>
      <c r="D687" s="2" t="s">
        <v>8</v>
      </c>
      <c r="E687" s="2">
        <f>0.04+0.455+0.05</f>
        <v>0.545</v>
      </c>
      <c r="F687" s="45">
        <v>173000</v>
      </c>
      <c r="G687" s="36" t="s">
        <v>102</v>
      </c>
      <c r="H687" s="5"/>
      <c r="I687" s="5"/>
      <c r="J687" s="5"/>
    </row>
    <row r="688" spans="1:10" ht="12.75">
      <c r="A688" s="2" t="s">
        <v>467</v>
      </c>
      <c r="B688" s="89" t="s">
        <v>1</v>
      </c>
      <c r="C688" s="82">
        <v>7</v>
      </c>
      <c r="D688" s="2" t="s">
        <v>8</v>
      </c>
      <c r="E688" s="2">
        <f>0.625+0.197-0.038-0.15-0.037-0.276-0.029-0.15</f>
        <v>0.14199999999999993</v>
      </c>
      <c r="F688" s="45">
        <v>173000</v>
      </c>
      <c r="G688" s="36" t="s">
        <v>224</v>
      </c>
      <c r="H688" s="5"/>
      <c r="I688" s="5"/>
      <c r="J688" s="5"/>
    </row>
    <row r="689" spans="1:10" ht="12.75">
      <c r="A689" s="2" t="s">
        <v>467</v>
      </c>
      <c r="B689" s="23" t="s">
        <v>13</v>
      </c>
      <c r="C689" s="2">
        <v>8</v>
      </c>
      <c r="D689" s="2" t="s">
        <v>8</v>
      </c>
      <c r="E689" s="25">
        <f>0.129-0.08</f>
        <v>0.049</v>
      </c>
      <c r="F689" s="45"/>
      <c r="G689" s="36" t="s">
        <v>301</v>
      </c>
      <c r="H689" s="6"/>
      <c r="I689" s="6"/>
      <c r="J689" s="6"/>
    </row>
    <row r="690" spans="1:10" ht="12.75">
      <c r="A690" s="2" t="s">
        <v>467</v>
      </c>
      <c r="B690" s="23" t="s">
        <v>20</v>
      </c>
      <c r="C690" s="2">
        <v>8</v>
      </c>
      <c r="D690" s="2" t="s">
        <v>8</v>
      </c>
      <c r="E690" s="2">
        <f>0.042</f>
        <v>0.042</v>
      </c>
      <c r="F690" s="45">
        <v>124000</v>
      </c>
      <c r="G690" s="36"/>
      <c r="H690" s="6"/>
      <c r="I690" s="6"/>
      <c r="J690" s="6"/>
    </row>
    <row r="691" spans="1:10" ht="12.75">
      <c r="A691" s="2" t="s">
        <v>467</v>
      </c>
      <c r="B691" s="27" t="s">
        <v>1</v>
      </c>
      <c r="C691" s="82">
        <v>8</v>
      </c>
      <c r="D691" s="2" t="s">
        <v>8</v>
      </c>
      <c r="E691" s="25">
        <f>(840-130)/1000</f>
        <v>0.71</v>
      </c>
      <c r="F691" s="45">
        <v>165000</v>
      </c>
      <c r="G691" s="36" t="s">
        <v>468</v>
      </c>
      <c r="H691" s="6"/>
      <c r="I691" s="6"/>
      <c r="J691" s="6"/>
    </row>
    <row r="692" spans="1:10" ht="12.75">
      <c r="A692" s="2" t="s">
        <v>467</v>
      </c>
      <c r="B692" s="27" t="s">
        <v>1</v>
      </c>
      <c r="C692" s="82">
        <v>9</v>
      </c>
      <c r="D692" s="2" t="s">
        <v>8</v>
      </c>
      <c r="E692" s="2">
        <f>0.3-0.008</f>
        <v>0.292</v>
      </c>
      <c r="F692" s="45">
        <v>173000</v>
      </c>
      <c r="G692" s="36" t="s">
        <v>93</v>
      </c>
      <c r="H692" s="6"/>
      <c r="I692" s="6"/>
      <c r="J692" s="6"/>
    </row>
    <row r="693" spans="1:10" ht="12.75">
      <c r="A693" s="2" t="s">
        <v>467</v>
      </c>
      <c r="B693" s="27" t="s">
        <v>107</v>
      </c>
      <c r="C693" s="24">
        <v>10</v>
      </c>
      <c r="D693" s="2" t="s">
        <v>8</v>
      </c>
      <c r="E693" s="2">
        <f>0.7-0.2-0.125-0.05</f>
        <v>0.32499999999999996</v>
      </c>
      <c r="F693" s="45">
        <v>175000</v>
      </c>
      <c r="G693" s="36" t="s">
        <v>136</v>
      </c>
      <c r="H693" s="6"/>
      <c r="I693" s="6"/>
      <c r="J693" s="6"/>
    </row>
    <row r="694" spans="1:10" ht="12.75">
      <c r="A694" s="2" t="s">
        <v>467</v>
      </c>
      <c r="B694" s="27" t="s">
        <v>1</v>
      </c>
      <c r="C694" s="82">
        <v>10</v>
      </c>
      <c r="D694" s="2" t="s">
        <v>8</v>
      </c>
      <c r="E694" s="25">
        <f>0.043-0.033+(3.35-0.05-0.205)</f>
        <v>3.105</v>
      </c>
      <c r="F694" s="45">
        <v>135000</v>
      </c>
      <c r="G694" s="36" t="s">
        <v>322</v>
      </c>
      <c r="H694" s="6"/>
      <c r="I694" s="6"/>
      <c r="J694" s="6"/>
    </row>
    <row r="695" spans="1:10" ht="12.75">
      <c r="A695" s="2" t="s">
        <v>467</v>
      </c>
      <c r="B695" s="27" t="s">
        <v>1</v>
      </c>
      <c r="C695" s="82">
        <v>12</v>
      </c>
      <c r="D695" s="2" t="s">
        <v>8</v>
      </c>
      <c r="E695" s="25">
        <f>0.84-0.065+0.05-0.025-0.141-0.12-0.187</f>
        <v>0.3519999999999999</v>
      </c>
      <c r="F695" s="45">
        <v>135000</v>
      </c>
      <c r="G695" s="36" t="s">
        <v>309</v>
      </c>
      <c r="H695" s="6"/>
      <c r="I695" s="6"/>
      <c r="J695" s="6"/>
    </row>
    <row r="696" spans="1:10" ht="12.75">
      <c r="A696" s="2" t="s">
        <v>467</v>
      </c>
      <c r="B696" s="27" t="s">
        <v>1</v>
      </c>
      <c r="C696" s="82">
        <v>13</v>
      </c>
      <c r="D696" s="2" t="s">
        <v>8</v>
      </c>
      <c r="E696" s="2">
        <f>0.548-0.08</f>
        <v>0.468</v>
      </c>
      <c r="F696" s="45">
        <v>135000</v>
      </c>
      <c r="G696" s="36" t="s">
        <v>322</v>
      </c>
      <c r="H696" s="6"/>
      <c r="I696" s="6"/>
      <c r="J696" s="6"/>
    </row>
    <row r="697" spans="1:10" ht="12.75">
      <c r="A697" s="2" t="s">
        <v>467</v>
      </c>
      <c r="B697" s="27" t="s">
        <v>1</v>
      </c>
      <c r="C697" s="82">
        <v>14</v>
      </c>
      <c r="D697" s="2" t="s">
        <v>8</v>
      </c>
      <c r="E697" s="25">
        <f>0.94-0.005-0.016-0.016-0.085-0.055-0.052-0.076-0.055-0.156-0.139-0.115</f>
        <v>0.16999999999999982</v>
      </c>
      <c r="F697" s="45">
        <v>159300</v>
      </c>
      <c r="G697" s="36" t="s">
        <v>309</v>
      </c>
      <c r="H697" s="6"/>
      <c r="I697" s="6"/>
      <c r="J697" s="6"/>
    </row>
    <row r="698" spans="1:10" ht="12.75">
      <c r="A698" s="2" t="s">
        <v>467</v>
      </c>
      <c r="B698" s="19" t="s">
        <v>27</v>
      </c>
      <c r="C698" s="24">
        <v>14</v>
      </c>
      <c r="D698" s="2" t="s">
        <v>8</v>
      </c>
      <c r="E698" s="25">
        <v>0.7</v>
      </c>
      <c r="F698" s="45">
        <v>155000</v>
      </c>
      <c r="G698" s="36"/>
      <c r="H698" s="6"/>
      <c r="I698" s="6"/>
      <c r="J698" s="6"/>
    </row>
    <row r="699" spans="1:10" ht="12.75">
      <c r="A699" s="2" t="s">
        <v>467</v>
      </c>
      <c r="B699" s="27" t="s">
        <v>107</v>
      </c>
      <c r="C699" s="24">
        <v>17</v>
      </c>
      <c r="D699" s="2" t="s">
        <v>8</v>
      </c>
      <c r="E699" s="2">
        <f>0.4-0.01</f>
        <v>0.39</v>
      </c>
      <c r="F699" s="45">
        <v>175000</v>
      </c>
      <c r="G699" s="36" t="s">
        <v>164</v>
      </c>
      <c r="H699" s="6"/>
      <c r="I699" s="6"/>
      <c r="J699" s="6"/>
    </row>
    <row r="700" spans="1:10" ht="12.75">
      <c r="A700" s="2" t="s">
        <v>467</v>
      </c>
      <c r="B700" s="27" t="s">
        <v>1</v>
      </c>
      <c r="C700" s="82">
        <v>17</v>
      </c>
      <c r="D700" s="2" t="s">
        <v>8</v>
      </c>
      <c r="E700" s="2">
        <f>((898+170-200-40)+(450-52-15))/1000</f>
        <v>1.211</v>
      </c>
      <c r="F700" s="45">
        <v>135000</v>
      </c>
      <c r="G700" s="36" t="s">
        <v>380</v>
      </c>
      <c r="H700" s="6"/>
      <c r="I700" s="6"/>
      <c r="J700" s="6"/>
    </row>
    <row r="701" spans="1:10" ht="12.75">
      <c r="A701" s="2" t="s">
        <v>467</v>
      </c>
      <c r="B701" s="27" t="s">
        <v>1</v>
      </c>
      <c r="C701" s="82">
        <v>19</v>
      </c>
      <c r="D701" s="2" t="s">
        <v>8</v>
      </c>
      <c r="E701" s="2">
        <f>1.3+0.589-0.056-0.13</f>
        <v>1.7029999999999998</v>
      </c>
      <c r="F701" s="45">
        <v>135000</v>
      </c>
      <c r="G701" s="36" t="s">
        <v>380</v>
      </c>
      <c r="H701" s="6"/>
      <c r="I701" s="6"/>
      <c r="J701" s="6"/>
    </row>
    <row r="702" spans="1:10" ht="12.75">
      <c r="A702" s="2" t="s">
        <v>467</v>
      </c>
      <c r="B702" s="27" t="s">
        <v>314</v>
      </c>
      <c r="C702" s="24">
        <v>22</v>
      </c>
      <c r="D702" s="2" t="s">
        <v>8</v>
      </c>
      <c r="E702" s="2">
        <f>0.49-0.028-0.052-0.129</f>
        <v>0.28099999999999997</v>
      </c>
      <c r="F702" s="45">
        <v>127000</v>
      </c>
      <c r="G702" s="36" t="s">
        <v>114</v>
      </c>
      <c r="H702" s="6"/>
      <c r="I702" s="6"/>
      <c r="J702" s="6"/>
    </row>
    <row r="703" spans="1:10" ht="12.75">
      <c r="A703" s="2" t="s">
        <v>467</v>
      </c>
      <c r="B703" s="27" t="s">
        <v>1</v>
      </c>
      <c r="C703" s="82">
        <v>22</v>
      </c>
      <c r="D703" s="2" t="s">
        <v>8</v>
      </c>
      <c r="E703" s="2">
        <v>0.037</v>
      </c>
      <c r="F703" s="45">
        <v>159300</v>
      </c>
      <c r="G703" s="36" t="s">
        <v>268</v>
      </c>
      <c r="H703" s="5" t="s">
        <v>281</v>
      </c>
      <c r="I703" s="46">
        <v>42858</v>
      </c>
      <c r="J703" s="41" t="s">
        <v>571</v>
      </c>
    </row>
    <row r="704" spans="1:10" ht="12.75">
      <c r="A704" s="2" t="s">
        <v>467</v>
      </c>
      <c r="B704" s="27" t="s">
        <v>1</v>
      </c>
      <c r="C704" s="82">
        <v>24</v>
      </c>
      <c r="D704" s="2" t="s">
        <v>8</v>
      </c>
      <c r="E704" s="25">
        <v>0.84</v>
      </c>
      <c r="F704" s="45">
        <v>135000</v>
      </c>
      <c r="G704" s="36" t="s">
        <v>468</v>
      </c>
      <c r="H704" s="6"/>
      <c r="I704" s="6"/>
      <c r="J704" s="6"/>
    </row>
    <row r="705" spans="1:10" ht="12.75">
      <c r="A705" s="2" t="s">
        <v>467</v>
      </c>
      <c r="B705" s="27" t="s">
        <v>1</v>
      </c>
      <c r="C705" s="82">
        <v>27</v>
      </c>
      <c r="D705" s="2" t="s">
        <v>8</v>
      </c>
      <c r="E705" s="25">
        <f>0.81-0.05-0.076-0.103-0.224-0.208-0.069</f>
        <v>0.0800000000000001</v>
      </c>
      <c r="F705" s="45">
        <v>135000</v>
      </c>
      <c r="G705" s="36" t="s">
        <v>309</v>
      </c>
      <c r="H705" s="6"/>
      <c r="I705" s="6"/>
      <c r="J705" s="6"/>
    </row>
    <row r="706" spans="1:10" ht="12.75">
      <c r="A706" s="2" t="s">
        <v>467</v>
      </c>
      <c r="B706" s="27" t="s">
        <v>1</v>
      </c>
      <c r="C706" s="82">
        <v>30</v>
      </c>
      <c r="D706" s="2" t="s">
        <v>8</v>
      </c>
      <c r="E706" s="25">
        <f>0.93-0.064-0.031-0.208-0.22</f>
        <v>0.40700000000000014</v>
      </c>
      <c r="F706" s="45">
        <v>135000</v>
      </c>
      <c r="G706" s="36" t="s">
        <v>309</v>
      </c>
      <c r="H706" s="5"/>
      <c r="I706" s="5"/>
      <c r="J706" s="5"/>
    </row>
    <row r="707" spans="1:10" ht="12.75">
      <c r="A707" s="2" t="s">
        <v>467</v>
      </c>
      <c r="B707" s="27" t="s">
        <v>1</v>
      </c>
      <c r="C707" s="82">
        <v>32</v>
      </c>
      <c r="D707" s="2" t="s">
        <v>8</v>
      </c>
      <c r="E707" s="2">
        <f>0.255+0.064-0.042-0.165</f>
        <v>0.11200000000000002</v>
      </c>
      <c r="F707" s="45">
        <v>159300</v>
      </c>
      <c r="G707" s="36" t="s">
        <v>436</v>
      </c>
      <c r="H707" s="6"/>
      <c r="I707" s="6"/>
      <c r="J707" s="6"/>
    </row>
    <row r="708" spans="1:10" ht="12.75">
      <c r="A708" s="2" t="s">
        <v>467</v>
      </c>
      <c r="B708" s="27" t="s">
        <v>1</v>
      </c>
      <c r="C708" s="82">
        <v>36</v>
      </c>
      <c r="D708" s="2" t="s">
        <v>8</v>
      </c>
      <c r="E708" s="25">
        <f>(622+470)/1000</f>
        <v>1.092</v>
      </c>
      <c r="F708" s="45">
        <v>135000</v>
      </c>
      <c r="G708" s="36" t="s">
        <v>468</v>
      </c>
      <c r="H708" s="6"/>
      <c r="I708" s="6"/>
      <c r="J708" s="6"/>
    </row>
    <row r="709" spans="1:10" s="4" customFormat="1" ht="12.75">
      <c r="A709" s="2" t="s">
        <v>467</v>
      </c>
      <c r="B709" s="27" t="s">
        <v>107</v>
      </c>
      <c r="C709" s="2">
        <v>41</v>
      </c>
      <c r="D709" s="2" t="s">
        <v>8</v>
      </c>
      <c r="E709" s="2">
        <f>0.618-0.05</f>
        <v>0.568</v>
      </c>
      <c r="F709" s="45">
        <v>175000</v>
      </c>
      <c r="G709" s="36" t="s">
        <v>164</v>
      </c>
      <c r="H709" s="6"/>
      <c r="I709" s="6"/>
      <c r="J709" s="6"/>
    </row>
    <row r="710" spans="1:10" s="4" customFormat="1" ht="12.75">
      <c r="A710" s="2" t="s">
        <v>467</v>
      </c>
      <c r="B710" s="27" t="s">
        <v>1</v>
      </c>
      <c r="C710" s="82">
        <v>41</v>
      </c>
      <c r="D710" s="2" t="s">
        <v>8</v>
      </c>
      <c r="E710" s="25">
        <f>0.54+0.74-0.2-0.057</f>
        <v>1.0230000000000001</v>
      </c>
      <c r="F710" s="45">
        <v>135000</v>
      </c>
      <c r="G710" s="36" t="s">
        <v>469</v>
      </c>
      <c r="H710" s="6"/>
      <c r="I710" s="6"/>
      <c r="J710" s="6"/>
    </row>
    <row r="711" spans="1:10" s="4" customFormat="1" ht="12.75">
      <c r="A711" s="2" t="s">
        <v>467</v>
      </c>
      <c r="B711" s="22" t="s">
        <v>107</v>
      </c>
      <c r="C711" s="2">
        <v>46</v>
      </c>
      <c r="D711" s="2" t="s">
        <v>8</v>
      </c>
      <c r="E711" s="2">
        <f>0.495-0.1</f>
        <v>0.395</v>
      </c>
      <c r="F711" s="45">
        <v>175000</v>
      </c>
      <c r="G711" s="36" t="s">
        <v>164</v>
      </c>
      <c r="H711" s="6"/>
      <c r="I711" s="6"/>
      <c r="J711" s="6"/>
    </row>
    <row r="712" spans="1:10" s="4" customFormat="1" ht="12.75">
      <c r="A712" s="2" t="s">
        <v>467</v>
      </c>
      <c r="B712" s="22" t="s">
        <v>107</v>
      </c>
      <c r="C712" s="2">
        <v>50</v>
      </c>
      <c r="D712" s="2" t="s">
        <v>8</v>
      </c>
      <c r="E712" s="2">
        <v>0.475</v>
      </c>
      <c r="F712" s="45">
        <v>175000</v>
      </c>
      <c r="G712" s="36" t="s">
        <v>164</v>
      </c>
      <c r="H712" s="6"/>
      <c r="I712" s="6"/>
      <c r="J712" s="6"/>
    </row>
    <row r="713" spans="1:10" s="4" customFormat="1" ht="12.75">
      <c r="A713" s="2" t="s">
        <v>15</v>
      </c>
      <c r="B713" s="27" t="s">
        <v>277</v>
      </c>
      <c r="C713" s="2">
        <v>1</v>
      </c>
      <c r="D713" s="2"/>
      <c r="E713" s="25">
        <v>0.0088</v>
      </c>
      <c r="F713" s="45"/>
      <c r="G713" s="36" t="s">
        <v>591</v>
      </c>
      <c r="H713" s="6"/>
      <c r="I713" s="6"/>
      <c r="J713" s="6"/>
    </row>
    <row r="714" spans="1:10" s="4" customFormat="1" ht="12.75">
      <c r="A714" s="2" t="s">
        <v>15</v>
      </c>
      <c r="B714" s="27" t="s">
        <v>215</v>
      </c>
      <c r="C714" s="2">
        <v>2</v>
      </c>
      <c r="D714" s="2" t="s">
        <v>8</v>
      </c>
      <c r="E714" s="2">
        <f>0.142-0.02-0.021</f>
        <v>0.10099999999999998</v>
      </c>
      <c r="F714" s="45">
        <v>620000</v>
      </c>
      <c r="G714" s="36" t="s">
        <v>295</v>
      </c>
      <c r="H714" s="6"/>
      <c r="I714" s="6"/>
      <c r="J714" s="6"/>
    </row>
    <row r="715" spans="1:10" ht="12.75">
      <c r="A715" s="2" t="s">
        <v>15</v>
      </c>
      <c r="B715" s="27" t="s">
        <v>177</v>
      </c>
      <c r="C715" s="2">
        <v>2</v>
      </c>
      <c r="D715" s="2" t="s">
        <v>8</v>
      </c>
      <c r="E715" s="2">
        <f>(317-32)/1000</f>
        <v>0.285</v>
      </c>
      <c r="F715" s="45">
        <v>340000</v>
      </c>
      <c r="G715" s="36" t="s">
        <v>598</v>
      </c>
      <c r="H715" s="6"/>
      <c r="I715" s="6"/>
      <c r="J715" s="6"/>
    </row>
    <row r="716" spans="1:10" ht="12.75">
      <c r="A716" s="2" t="s">
        <v>15</v>
      </c>
      <c r="B716" s="20" t="s">
        <v>201</v>
      </c>
      <c r="C716" s="24">
        <v>2.2</v>
      </c>
      <c r="D716" s="2" t="s">
        <v>8</v>
      </c>
      <c r="E716" s="2">
        <f>0.085</f>
        <v>0.085</v>
      </c>
      <c r="F716" s="45">
        <v>400000</v>
      </c>
      <c r="G716" s="36" t="s">
        <v>57</v>
      </c>
      <c r="H716" s="6"/>
      <c r="I716" s="6"/>
      <c r="J716" s="6"/>
    </row>
    <row r="717" spans="1:10" ht="12.75">
      <c r="A717" s="2" t="s">
        <v>15</v>
      </c>
      <c r="B717" s="27" t="s">
        <v>210</v>
      </c>
      <c r="C717" s="2">
        <v>3</v>
      </c>
      <c r="D717" s="2" t="s">
        <v>8</v>
      </c>
      <c r="E717" s="2">
        <v>0.046</v>
      </c>
      <c r="F717" s="45">
        <v>700000</v>
      </c>
      <c r="G717" s="36" t="s">
        <v>599</v>
      </c>
      <c r="H717" s="6" t="s">
        <v>321</v>
      </c>
      <c r="I717" s="46">
        <v>43152</v>
      </c>
      <c r="J717" s="39" t="s">
        <v>545</v>
      </c>
    </row>
    <row r="718" spans="1:10" ht="12.75">
      <c r="A718" s="2" t="s">
        <v>15</v>
      </c>
      <c r="B718" s="27" t="s">
        <v>213</v>
      </c>
      <c r="C718" s="2">
        <v>3.8</v>
      </c>
      <c r="D718" s="2" t="s">
        <v>8</v>
      </c>
      <c r="E718" s="25">
        <f>75.9/1000</f>
        <v>0.07590000000000001</v>
      </c>
      <c r="F718" s="45">
        <v>920000</v>
      </c>
      <c r="G718" s="36" t="s">
        <v>346</v>
      </c>
      <c r="H718" s="6"/>
      <c r="I718" s="6"/>
      <c r="J718" s="6"/>
    </row>
    <row r="719" spans="1:10" s="4" customFormat="1" ht="12.75">
      <c r="A719" s="2" t="s">
        <v>15</v>
      </c>
      <c r="B719" s="20" t="s">
        <v>175</v>
      </c>
      <c r="C719" s="2">
        <v>4</v>
      </c>
      <c r="D719" s="2" t="s">
        <v>8</v>
      </c>
      <c r="E719" s="2">
        <f>0.192-0.063</f>
        <v>0.129</v>
      </c>
      <c r="F719" s="45">
        <v>265000</v>
      </c>
      <c r="G719" s="36" t="s">
        <v>354</v>
      </c>
      <c r="H719" s="6" t="s">
        <v>353</v>
      </c>
      <c r="I719" s="47"/>
      <c r="J719" s="41"/>
    </row>
    <row r="720" spans="1:10" ht="12.75">
      <c r="A720" s="2" t="s">
        <v>15</v>
      </c>
      <c r="B720" s="27" t="s">
        <v>215</v>
      </c>
      <c r="C720" s="2">
        <v>4</v>
      </c>
      <c r="D720" s="2" t="s">
        <v>8</v>
      </c>
      <c r="E720" s="2">
        <v>0.096</v>
      </c>
      <c r="F720" s="45">
        <v>630000</v>
      </c>
      <c r="G720" s="36" t="s">
        <v>540</v>
      </c>
      <c r="H720" s="6"/>
      <c r="I720" s="6"/>
      <c r="J720" s="6"/>
    </row>
    <row r="721" spans="1:10" ht="12.75">
      <c r="A721" s="2" t="s">
        <v>15</v>
      </c>
      <c r="B721" s="20" t="s">
        <v>110</v>
      </c>
      <c r="C721" s="2">
        <v>4</v>
      </c>
      <c r="D721" s="2" t="s">
        <v>8</v>
      </c>
      <c r="E721" s="25">
        <v>0.162</v>
      </c>
      <c r="F721" s="45">
        <v>940000</v>
      </c>
      <c r="G721" s="36" t="s">
        <v>592</v>
      </c>
      <c r="H721" s="6"/>
      <c r="I721" s="6"/>
      <c r="J721" s="6"/>
    </row>
    <row r="722" spans="1:10" ht="12.75">
      <c r="A722" s="2" t="s">
        <v>15</v>
      </c>
      <c r="B722" s="27" t="s">
        <v>177</v>
      </c>
      <c r="C722" s="2">
        <v>6</v>
      </c>
      <c r="D722" s="2" t="s">
        <v>8</v>
      </c>
      <c r="E722" s="2">
        <f>0.118</f>
        <v>0.118</v>
      </c>
      <c r="F722" s="45">
        <v>210000</v>
      </c>
      <c r="G722" s="36" t="s">
        <v>614</v>
      </c>
      <c r="H722" s="6"/>
      <c r="I722" s="6"/>
      <c r="J722" s="6"/>
    </row>
    <row r="723" spans="1:10" ht="12.75">
      <c r="A723" s="2" t="s">
        <v>15</v>
      </c>
      <c r="B723" s="27" t="s">
        <v>210</v>
      </c>
      <c r="C723" s="2">
        <v>6</v>
      </c>
      <c r="D723" s="2" t="s">
        <v>8</v>
      </c>
      <c r="E723" s="25">
        <f>(150*2-12.3)/1000</f>
        <v>0.2877</v>
      </c>
      <c r="F723" s="45">
        <v>525000</v>
      </c>
      <c r="G723" s="36" t="s">
        <v>532</v>
      </c>
      <c r="H723" s="6"/>
      <c r="I723" s="6"/>
      <c r="J723" s="6"/>
    </row>
    <row r="724" spans="1:10" s="4" customFormat="1" ht="12.75">
      <c r="A724" s="2" t="s">
        <v>15</v>
      </c>
      <c r="B724" s="27" t="s">
        <v>215</v>
      </c>
      <c r="C724" s="2">
        <v>8</v>
      </c>
      <c r="D724" s="2" t="s">
        <v>8</v>
      </c>
      <c r="E724" s="2">
        <f>0.55-0.015</f>
        <v>0.535</v>
      </c>
      <c r="F724" s="45">
        <v>600000</v>
      </c>
      <c r="G724" s="36"/>
      <c r="H724" s="6"/>
      <c r="I724" s="6"/>
      <c r="J724" s="6"/>
    </row>
    <row r="725" spans="1:10" ht="12.75">
      <c r="A725" s="2" t="s">
        <v>15</v>
      </c>
      <c r="B725" s="27" t="s">
        <v>210</v>
      </c>
      <c r="C725" s="2">
        <v>8</v>
      </c>
      <c r="D725" s="2" t="s">
        <v>8</v>
      </c>
      <c r="E725" s="2">
        <f>0.25+0.248-0.125-0.007</f>
        <v>0.366</v>
      </c>
      <c r="F725" s="45">
        <v>525000</v>
      </c>
      <c r="G725" s="36" t="s">
        <v>531</v>
      </c>
      <c r="H725" s="6"/>
      <c r="I725" s="6"/>
      <c r="J725" s="6"/>
    </row>
    <row r="726" spans="1:10" ht="12.75">
      <c r="A726" s="2" t="s">
        <v>15</v>
      </c>
      <c r="B726" s="27" t="s">
        <v>177</v>
      </c>
      <c r="C726" s="2">
        <v>10</v>
      </c>
      <c r="D726" s="2" t="s">
        <v>8</v>
      </c>
      <c r="E726" s="2">
        <f>0.389+0.39+0.355+0.353+0.356+0.336+0.376+0.356-0.225-0.406-0.299</f>
        <v>1.9809999999999994</v>
      </c>
      <c r="F726" s="45">
        <v>190000</v>
      </c>
      <c r="G726" s="62"/>
      <c r="H726" s="6"/>
      <c r="I726" s="6"/>
      <c r="J726" s="6"/>
    </row>
    <row r="727" spans="1:10" ht="12.75">
      <c r="A727" s="2" t="s">
        <v>15</v>
      </c>
      <c r="B727" s="20" t="s">
        <v>175</v>
      </c>
      <c r="C727" s="2">
        <v>12</v>
      </c>
      <c r="D727" s="2" t="s">
        <v>8</v>
      </c>
      <c r="E727" s="2">
        <v>0.154</v>
      </c>
      <c r="F727" s="45">
        <v>250000</v>
      </c>
      <c r="G727" s="36" t="s">
        <v>354</v>
      </c>
      <c r="H727" s="6" t="s">
        <v>353</v>
      </c>
      <c r="I727" s="47"/>
      <c r="J727" s="41"/>
    </row>
    <row r="728" spans="1:10" s="4" customFormat="1" ht="12.75">
      <c r="A728" s="2" t="s">
        <v>15</v>
      </c>
      <c r="B728" s="27" t="s">
        <v>210</v>
      </c>
      <c r="C728" s="2">
        <v>12</v>
      </c>
      <c r="D728" s="2" t="s">
        <v>8</v>
      </c>
      <c r="E728" s="2">
        <f>0.511-0.171</f>
        <v>0.33999999999999997</v>
      </c>
      <c r="F728" s="45">
        <v>700000</v>
      </c>
      <c r="G728" s="36" t="s">
        <v>520</v>
      </c>
      <c r="H728" s="6"/>
      <c r="I728" s="6"/>
      <c r="J728" s="6"/>
    </row>
    <row r="729" spans="1:10" ht="12.75">
      <c r="A729" s="2" t="s">
        <v>15</v>
      </c>
      <c r="B729" s="27" t="s">
        <v>215</v>
      </c>
      <c r="C729" s="2">
        <v>16</v>
      </c>
      <c r="D729" s="2" t="s">
        <v>8</v>
      </c>
      <c r="E729" s="2">
        <f>0.091-0.018-0.019</f>
        <v>0.05399999999999999</v>
      </c>
      <c r="F729" s="45">
        <v>600000</v>
      </c>
      <c r="G729" s="36" t="s">
        <v>561</v>
      </c>
      <c r="H729" s="6"/>
      <c r="I729" s="6"/>
      <c r="J729" s="6"/>
    </row>
    <row r="730" spans="1:10" s="4" customFormat="1" ht="12.75">
      <c r="A730" s="2" t="s">
        <v>15</v>
      </c>
      <c r="B730" s="27" t="s">
        <v>177</v>
      </c>
      <c r="C730" s="2">
        <v>18</v>
      </c>
      <c r="D730" s="2" t="s">
        <v>8</v>
      </c>
      <c r="E730" s="2">
        <f>2.04-0.043-0.04-0.18-0.327-0.16-0.1</f>
        <v>1.1900000000000002</v>
      </c>
      <c r="F730" s="45">
        <v>190000</v>
      </c>
      <c r="G730" s="61"/>
      <c r="H730" s="6"/>
      <c r="I730" s="6"/>
      <c r="J730" s="6"/>
    </row>
    <row r="731" spans="1:10" s="4" customFormat="1" ht="12.75">
      <c r="A731" s="2" t="s">
        <v>15</v>
      </c>
      <c r="B731" s="27" t="s">
        <v>210</v>
      </c>
      <c r="C731" s="2">
        <v>28</v>
      </c>
      <c r="D731" s="2" t="s">
        <v>8</v>
      </c>
      <c r="E731" s="25">
        <f>(43)/1000</f>
        <v>0.043</v>
      </c>
      <c r="F731" s="45">
        <v>700000</v>
      </c>
      <c r="G731" s="36" t="s">
        <v>381</v>
      </c>
      <c r="H731" s="6"/>
      <c r="I731" s="6"/>
      <c r="J731" s="6"/>
    </row>
    <row r="732" spans="1:10" s="4" customFormat="1" ht="12.75">
      <c r="A732" s="2" t="s">
        <v>15</v>
      </c>
      <c r="B732" s="27" t="s">
        <v>214</v>
      </c>
      <c r="C732" s="2" t="s">
        <v>249</v>
      </c>
      <c r="D732" s="2" t="s">
        <v>8</v>
      </c>
      <c r="E732" s="25">
        <f>1.42-0.008*8-0.026-0.048</f>
        <v>1.2819999999999998</v>
      </c>
      <c r="F732" s="45">
        <v>840000</v>
      </c>
      <c r="G732" s="36" t="s">
        <v>250</v>
      </c>
      <c r="H732" s="6"/>
      <c r="I732" s="6"/>
      <c r="J732" s="6"/>
    </row>
    <row r="733" spans="1:10" ht="12.75">
      <c r="A733" s="2" t="s">
        <v>15</v>
      </c>
      <c r="B733" s="27" t="s">
        <v>214</v>
      </c>
      <c r="C733" s="2" t="s">
        <v>247</v>
      </c>
      <c r="D733" s="2" t="s">
        <v>8</v>
      </c>
      <c r="E733" s="25">
        <f>0.01</f>
        <v>0.01</v>
      </c>
      <c r="F733" s="45">
        <v>840000</v>
      </c>
      <c r="G733" s="36" t="s">
        <v>225</v>
      </c>
      <c r="H733" s="6"/>
      <c r="I733" s="6"/>
      <c r="J733" s="6"/>
    </row>
    <row r="734" spans="1:10" ht="12.75">
      <c r="A734" s="2" t="s">
        <v>15</v>
      </c>
      <c r="B734" s="27" t="s">
        <v>205</v>
      </c>
      <c r="C734" s="2" t="s">
        <v>56</v>
      </c>
      <c r="D734" s="2" t="s">
        <v>8</v>
      </c>
      <c r="E734" s="2">
        <f>0.311-0.146</f>
        <v>0.165</v>
      </c>
      <c r="F734" s="45">
        <v>520000</v>
      </c>
      <c r="G734" s="36"/>
      <c r="H734" s="6"/>
      <c r="I734" s="6"/>
      <c r="J734" s="6"/>
    </row>
    <row r="735" spans="1:10" s="4" customFormat="1" ht="12.75">
      <c r="A735" s="2" t="s">
        <v>15</v>
      </c>
      <c r="B735" s="20" t="s">
        <v>175</v>
      </c>
      <c r="C735" s="2" t="s">
        <v>352</v>
      </c>
      <c r="D735" s="2" t="s">
        <v>8</v>
      </c>
      <c r="E735" s="2">
        <v>0.095</v>
      </c>
      <c r="F735" s="45">
        <v>250000</v>
      </c>
      <c r="G735" s="36" t="s">
        <v>354</v>
      </c>
      <c r="H735" s="6"/>
      <c r="I735" s="6"/>
      <c r="J735" s="6"/>
    </row>
    <row r="736" spans="1:10" s="4" customFormat="1" ht="12.75">
      <c r="A736" s="2" t="s">
        <v>33</v>
      </c>
      <c r="B736" s="20" t="s">
        <v>316</v>
      </c>
      <c r="C736" s="2">
        <v>1.5</v>
      </c>
      <c r="D736" s="2" t="s">
        <v>8</v>
      </c>
      <c r="E736" s="25">
        <f>0.89-0.2-0.224-0.174-0.05-0.05-0.026</f>
        <v>0.166</v>
      </c>
      <c r="F736" s="45">
        <v>510000</v>
      </c>
      <c r="G736" s="36" t="s">
        <v>317</v>
      </c>
      <c r="H736" s="6"/>
      <c r="I736" s="6"/>
      <c r="J736" s="6"/>
    </row>
    <row r="737" spans="1:10" s="4" customFormat="1" ht="12.75">
      <c r="A737" s="2" t="s">
        <v>33</v>
      </c>
      <c r="B737" s="20" t="s">
        <v>35</v>
      </c>
      <c r="C737" s="2">
        <v>4.5</v>
      </c>
      <c r="D737" s="2" t="s">
        <v>8</v>
      </c>
      <c r="E737" s="25">
        <v>0.08</v>
      </c>
      <c r="F737" s="45">
        <f>690000</f>
        <v>690000</v>
      </c>
      <c r="G737" s="36" t="s">
        <v>220</v>
      </c>
      <c r="H737" s="6"/>
      <c r="I737" s="6"/>
      <c r="J737" s="6"/>
    </row>
    <row r="738" spans="1:10" s="4" customFormat="1" ht="12.75">
      <c r="A738" s="2" t="s">
        <v>33</v>
      </c>
      <c r="B738" s="20" t="s">
        <v>90</v>
      </c>
      <c r="C738" s="2" t="s">
        <v>160</v>
      </c>
      <c r="D738" s="2" t="s">
        <v>8</v>
      </c>
      <c r="E738" s="2">
        <f>0.064+1.498-0.032*(3+1+1+1)-0.306-0.31-0.252</f>
        <v>0.502</v>
      </c>
      <c r="F738" s="45">
        <v>480000</v>
      </c>
      <c r="G738" s="36" t="s">
        <v>76</v>
      </c>
      <c r="H738" s="6"/>
      <c r="I738" s="6"/>
      <c r="J738" s="6"/>
    </row>
    <row r="739" spans="1:10" ht="12.75">
      <c r="A739" s="2" t="s">
        <v>33</v>
      </c>
      <c r="B739" s="20" t="s">
        <v>90</v>
      </c>
      <c r="C739" s="2" t="s">
        <v>91</v>
      </c>
      <c r="D739" s="2" t="s">
        <v>8</v>
      </c>
      <c r="E739" s="2">
        <f>1.52-0.122-0.063*2-0.49-0.215-0.22</f>
        <v>0.3470000000000003</v>
      </c>
      <c r="F739" s="45">
        <v>480000</v>
      </c>
      <c r="G739" s="36" t="s">
        <v>76</v>
      </c>
      <c r="H739" s="6"/>
      <c r="I739" s="6"/>
      <c r="J739" s="6"/>
    </row>
    <row r="740" spans="1:10" ht="12.75">
      <c r="A740" s="2" t="s">
        <v>33</v>
      </c>
      <c r="B740" s="20" t="s">
        <v>90</v>
      </c>
      <c r="C740" s="2" t="s">
        <v>75</v>
      </c>
      <c r="D740" s="2" t="s">
        <v>8</v>
      </c>
      <c r="E740" s="2">
        <f>1.34-0.048*13</f>
        <v>0.7160000000000001</v>
      </c>
      <c r="F740" s="45">
        <v>480000</v>
      </c>
      <c r="G740" s="36" t="s">
        <v>76</v>
      </c>
      <c r="H740" s="6"/>
      <c r="I740" s="6"/>
      <c r="J740" s="6"/>
    </row>
    <row r="741" spans="1:10" ht="12.75">
      <c r="A741" s="2" t="s">
        <v>10</v>
      </c>
      <c r="B741" s="20" t="s">
        <v>113</v>
      </c>
      <c r="C741" s="2">
        <v>2.2</v>
      </c>
      <c r="D741" s="2" t="s">
        <v>8</v>
      </c>
      <c r="E741" s="25">
        <f>0.87-0.047</f>
        <v>0.823</v>
      </c>
      <c r="F741" s="45">
        <v>250000</v>
      </c>
      <c r="G741" s="36" t="s">
        <v>73</v>
      </c>
      <c r="H741" s="6"/>
      <c r="I741" s="6"/>
      <c r="J741" s="6"/>
    </row>
    <row r="742" spans="1:10" ht="12.75">
      <c r="A742" s="2" t="s">
        <v>10</v>
      </c>
      <c r="B742" s="19" t="s">
        <v>11</v>
      </c>
      <c r="C742" s="2">
        <v>3</v>
      </c>
      <c r="D742" s="2" t="s">
        <v>8</v>
      </c>
      <c r="E742" s="2">
        <f>0.48-0.096-0.048*4+0.027</f>
        <v>0.219</v>
      </c>
      <c r="F742" s="45">
        <v>185000</v>
      </c>
      <c r="G742" s="36" t="s">
        <v>541</v>
      </c>
      <c r="H742" s="10" t="s">
        <v>17</v>
      </c>
      <c r="I742" s="5"/>
      <c r="J742" s="6"/>
    </row>
    <row r="743" spans="1:10" ht="12.75">
      <c r="A743" s="2" t="s">
        <v>10</v>
      </c>
      <c r="B743" s="27" t="s">
        <v>1</v>
      </c>
      <c r="C743" s="2">
        <v>5</v>
      </c>
      <c r="D743" s="2" t="s">
        <v>8</v>
      </c>
      <c r="E743" s="2">
        <v>0.12</v>
      </c>
      <c r="F743" s="45">
        <v>94000</v>
      </c>
      <c r="G743" s="36" t="s">
        <v>529</v>
      </c>
      <c r="H743" s="6"/>
      <c r="I743" s="6"/>
      <c r="J743" s="6"/>
    </row>
    <row r="744" spans="1:10" ht="12.75">
      <c r="A744" s="2" t="s">
        <v>10</v>
      </c>
      <c r="B744" s="23" t="s">
        <v>14</v>
      </c>
      <c r="C744" s="2">
        <v>10</v>
      </c>
      <c r="D744" s="2" t="s">
        <v>8</v>
      </c>
      <c r="E744" s="2">
        <v>0.306</v>
      </c>
      <c r="F744" s="45">
        <v>293000</v>
      </c>
      <c r="G744" s="36" t="s">
        <v>557</v>
      </c>
      <c r="H744" s="6"/>
      <c r="I744" s="6"/>
      <c r="J744" s="6"/>
    </row>
    <row r="745" spans="1:10" ht="12.75">
      <c r="A745" s="2" t="s">
        <v>10</v>
      </c>
      <c r="B745" s="19" t="s">
        <v>41</v>
      </c>
      <c r="C745" s="2">
        <v>10</v>
      </c>
      <c r="D745" s="2" t="s">
        <v>8</v>
      </c>
      <c r="E745" s="2">
        <v>0.316</v>
      </c>
      <c r="F745" s="45">
        <v>90000</v>
      </c>
      <c r="G745" s="36" t="s">
        <v>528</v>
      </c>
      <c r="H745" s="6"/>
      <c r="I745" s="6"/>
      <c r="J745" s="6"/>
    </row>
    <row r="746" spans="1:10" ht="12.75">
      <c r="A746" s="2" t="s">
        <v>10</v>
      </c>
      <c r="B746" s="27" t="s">
        <v>1</v>
      </c>
      <c r="C746" s="2">
        <v>12</v>
      </c>
      <c r="D746" s="2" t="s">
        <v>8</v>
      </c>
      <c r="E746" s="2">
        <v>0.34</v>
      </c>
      <c r="F746" s="45">
        <v>98000</v>
      </c>
      <c r="G746" s="36" t="s">
        <v>564</v>
      </c>
      <c r="H746" s="6"/>
      <c r="I746" s="6"/>
      <c r="J746" s="6"/>
    </row>
    <row r="747" spans="1:10" ht="12.75">
      <c r="A747" s="2" t="s">
        <v>10</v>
      </c>
      <c r="B747" s="19" t="s">
        <v>26</v>
      </c>
      <c r="C747" s="2">
        <v>16</v>
      </c>
      <c r="D747" s="2" t="s">
        <v>8</v>
      </c>
      <c r="E747" s="2">
        <f>0.565-0.096</f>
        <v>0.469</v>
      </c>
      <c r="F747" s="45">
        <v>40000</v>
      </c>
      <c r="G747" s="36" t="s">
        <v>527</v>
      </c>
      <c r="H747" s="6"/>
      <c r="I747" s="6"/>
      <c r="J747" s="6"/>
    </row>
    <row r="748" spans="1:10" ht="12.75">
      <c r="A748" s="2" t="s">
        <v>10</v>
      </c>
      <c r="B748" s="20" t="s">
        <v>61</v>
      </c>
      <c r="C748" s="2">
        <v>20</v>
      </c>
      <c r="D748" s="2" t="s">
        <v>8</v>
      </c>
      <c r="E748" s="2">
        <v>0.32</v>
      </c>
      <c r="F748" s="45">
        <v>60000</v>
      </c>
      <c r="G748" s="36" t="s">
        <v>526</v>
      </c>
      <c r="H748" s="6"/>
      <c r="I748" s="6"/>
      <c r="J748" s="6"/>
    </row>
    <row r="749" spans="1:10" ht="12.75">
      <c r="A749" s="2" t="s">
        <v>10</v>
      </c>
      <c r="B749" s="23" t="s">
        <v>116</v>
      </c>
      <c r="C749" s="2">
        <v>25</v>
      </c>
      <c r="D749" s="2" t="s">
        <v>8</v>
      </c>
      <c r="E749" s="2">
        <f>0.207-0.041+0.281</f>
        <v>0.447</v>
      </c>
      <c r="F749" s="45">
        <v>160000</v>
      </c>
      <c r="G749" s="36" t="s">
        <v>582</v>
      </c>
      <c r="H749" s="6"/>
      <c r="I749" s="6"/>
      <c r="J749" s="6"/>
    </row>
    <row r="750" spans="1:10" ht="12.75">
      <c r="A750" s="2" t="s">
        <v>10</v>
      </c>
      <c r="B750" s="23" t="s">
        <v>13</v>
      </c>
      <c r="C750" s="2">
        <v>30</v>
      </c>
      <c r="D750" s="2" t="s">
        <v>8</v>
      </c>
      <c r="E750" s="2">
        <f>1.07-0.163</f>
        <v>0.907</v>
      </c>
      <c r="F750" s="45">
        <v>60000</v>
      </c>
      <c r="G750" s="36" t="s">
        <v>525</v>
      </c>
      <c r="H750" s="10"/>
      <c r="I750" s="5"/>
      <c r="J750" s="6"/>
    </row>
    <row r="751" spans="1:10" ht="12.75">
      <c r="A751" s="2" t="s">
        <v>10</v>
      </c>
      <c r="B751" s="27" t="s">
        <v>1</v>
      </c>
      <c r="C751" s="2">
        <v>30</v>
      </c>
      <c r="D751" s="2" t="s">
        <v>8</v>
      </c>
      <c r="E751" s="2">
        <v>0.336</v>
      </c>
      <c r="F751" s="45">
        <v>98000</v>
      </c>
      <c r="G751" s="36" t="s">
        <v>530</v>
      </c>
      <c r="H751" s="6"/>
      <c r="I751" s="6"/>
      <c r="J751" s="6"/>
    </row>
    <row r="752" spans="1:10" ht="12.75">
      <c r="A752" s="2" t="s">
        <v>10</v>
      </c>
      <c r="B752" s="20" t="s">
        <v>61</v>
      </c>
      <c r="C752" s="2">
        <v>40</v>
      </c>
      <c r="D752" s="2" t="s">
        <v>8</v>
      </c>
      <c r="E752" s="2">
        <f>0.81-0.472</f>
        <v>0.3380000000000001</v>
      </c>
      <c r="F752" s="45">
        <v>70000</v>
      </c>
      <c r="G752" s="36" t="s">
        <v>524</v>
      </c>
      <c r="H752" s="10"/>
      <c r="I752" s="5"/>
      <c r="J752" s="6"/>
    </row>
    <row r="753" spans="1:10" ht="12.75">
      <c r="A753" s="2" t="s">
        <v>10</v>
      </c>
      <c r="B753" s="20" t="s">
        <v>154</v>
      </c>
      <c r="C753" s="2">
        <v>40</v>
      </c>
      <c r="D753" s="2" t="s">
        <v>8</v>
      </c>
      <c r="E753" s="2">
        <f>1.27</f>
        <v>1.27</v>
      </c>
      <c r="F753" s="45">
        <v>60000</v>
      </c>
      <c r="G753" s="36" t="s">
        <v>523</v>
      </c>
      <c r="H753" s="10"/>
      <c r="I753" s="5"/>
      <c r="J753" s="6"/>
    </row>
    <row r="754" spans="1:10" ht="12.75">
      <c r="A754" s="2" t="s">
        <v>10</v>
      </c>
      <c r="B754" s="21" t="s">
        <v>275</v>
      </c>
      <c r="C754" s="2">
        <v>40</v>
      </c>
      <c r="D754" s="2" t="s">
        <v>8</v>
      </c>
      <c r="E754" s="2">
        <v>2.02</v>
      </c>
      <c r="F754" s="45">
        <v>70000</v>
      </c>
      <c r="G754" s="36" t="s">
        <v>577</v>
      </c>
      <c r="H754" s="10"/>
      <c r="I754" s="5"/>
      <c r="J754" s="6"/>
    </row>
    <row r="755" spans="1:10" ht="12.75">
      <c r="A755" s="2" t="s">
        <v>10</v>
      </c>
      <c r="B755" s="27" t="s">
        <v>1</v>
      </c>
      <c r="C755" s="2">
        <v>50</v>
      </c>
      <c r="D755" s="2" t="s">
        <v>8</v>
      </c>
      <c r="E755" s="2">
        <f>1.547-0.57</f>
        <v>0.977</v>
      </c>
      <c r="F755" s="45">
        <v>94000</v>
      </c>
      <c r="G755" s="85" t="s">
        <v>522</v>
      </c>
      <c r="H755" s="6"/>
      <c r="I755" s="6"/>
      <c r="J755" s="6"/>
    </row>
    <row r="756" spans="1:10" ht="12.75">
      <c r="A756" s="2" t="s">
        <v>10</v>
      </c>
      <c r="B756" s="23" t="s">
        <v>275</v>
      </c>
      <c r="C756" s="2">
        <v>60</v>
      </c>
      <c r="D756" s="2" t="s">
        <v>8</v>
      </c>
      <c r="E756" s="2">
        <v>0.972</v>
      </c>
      <c r="F756" s="45">
        <v>80000</v>
      </c>
      <c r="G756" s="36" t="s">
        <v>576</v>
      </c>
      <c r="H756" s="6"/>
      <c r="I756" s="6"/>
      <c r="J756" s="6"/>
    </row>
    <row r="757" spans="1:10" ht="12.75">
      <c r="A757" s="2" t="s">
        <v>10</v>
      </c>
      <c r="B757" s="20" t="s">
        <v>61</v>
      </c>
      <c r="C757" s="2" t="s">
        <v>276</v>
      </c>
      <c r="D757" s="2" t="s">
        <v>8</v>
      </c>
      <c r="E757" s="2">
        <v>0.36</v>
      </c>
      <c r="F757" s="45">
        <v>60000</v>
      </c>
      <c r="G757" s="36" t="s">
        <v>193</v>
      </c>
      <c r="H757" s="6"/>
      <c r="I757" s="6"/>
      <c r="J757" s="6"/>
    </row>
    <row r="758" spans="1:10" ht="12.75">
      <c r="A758" s="2" t="s">
        <v>10</v>
      </c>
      <c r="B758" s="19" t="s">
        <v>11</v>
      </c>
      <c r="C758" s="2" t="s">
        <v>94</v>
      </c>
      <c r="D758" s="2" t="s">
        <v>8</v>
      </c>
      <c r="E758" s="2">
        <f>0.69-0.032-0.032-0.032-0.032-0.032*9</f>
        <v>0.2739999999999998</v>
      </c>
      <c r="F758" s="45">
        <v>185000</v>
      </c>
      <c r="G758" s="36" t="s">
        <v>95</v>
      </c>
      <c r="H758" s="10"/>
      <c r="I758" s="5"/>
      <c r="J758" s="5"/>
    </row>
    <row r="759" spans="1:10" ht="12.75">
      <c r="A759" s="2" t="s">
        <v>537</v>
      </c>
      <c r="B759" s="27" t="s">
        <v>177</v>
      </c>
      <c r="C759" s="2" t="s">
        <v>562</v>
      </c>
      <c r="D759" s="2" t="s">
        <v>8</v>
      </c>
      <c r="E759" s="2">
        <v>0.051</v>
      </c>
      <c r="F759" s="45">
        <v>300000</v>
      </c>
      <c r="G759" s="36"/>
      <c r="H759" s="6"/>
      <c r="I759" s="6"/>
      <c r="J759" s="6"/>
    </row>
    <row r="760" spans="1:248" ht="12.75">
      <c r="A760" s="2" t="s">
        <v>537</v>
      </c>
      <c r="B760" s="20" t="s">
        <v>110</v>
      </c>
      <c r="C760" s="2" t="s">
        <v>106</v>
      </c>
      <c r="D760" s="2" t="s">
        <v>8</v>
      </c>
      <c r="E760" s="25">
        <v>0.93</v>
      </c>
      <c r="F760" s="45">
        <v>750000</v>
      </c>
      <c r="G760" s="36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</row>
    <row r="761" spans="1:10" ht="12.75">
      <c r="A761" s="2" t="s">
        <v>537</v>
      </c>
      <c r="B761" s="20" t="s">
        <v>110</v>
      </c>
      <c r="C761" s="2" t="s">
        <v>70</v>
      </c>
      <c r="D761" s="2" t="s">
        <v>8</v>
      </c>
      <c r="E761" s="25">
        <v>0.635</v>
      </c>
      <c r="F761" s="45">
        <v>750000</v>
      </c>
      <c r="G761" s="36"/>
      <c r="H761" s="5"/>
      <c r="I761" s="5"/>
      <c r="J761" s="5"/>
    </row>
    <row r="762" spans="1:10" s="4" customFormat="1" ht="12.75">
      <c r="A762" s="65" t="s">
        <v>537</v>
      </c>
      <c r="B762" s="81" t="s">
        <v>23</v>
      </c>
      <c r="C762" s="65" t="s">
        <v>538</v>
      </c>
      <c r="D762" s="65" t="s">
        <v>8</v>
      </c>
      <c r="E762" s="65">
        <v>2.4</v>
      </c>
      <c r="F762" s="67" t="s">
        <v>612</v>
      </c>
      <c r="G762" s="68" t="s">
        <v>539</v>
      </c>
      <c r="H762" s="6"/>
      <c r="I762" s="46"/>
      <c r="J762" s="36"/>
    </row>
    <row r="763" spans="1:10" s="4" customFormat="1" ht="12.75">
      <c r="A763" s="2" t="s">
        <v>32</v>
      </c>
      <c r="B763" s="23" t="s">
        <v>42</v>
      </c>
      <c r="C763" s="2">
        <v>10</v>
      </c>
      <c r="D763" s="2" t="s">
        <v>8</v>
      </c>
      <c r="E763" s="25">
        <v>0.066</v>
      </c>
      <c r="F763" s="45">
        <v>245000</v>
      </c>
      <c r="G763" s="36" t="s">
        <v>589</v>
      </c>
      <c r="H763" s="5"/>
      <c r="I763" s="5"/>
      <c r="J763" s="5"/>
    </row>
    <row r="764" spans="1:10" s="4" customFormat="1" ht="12.75">
      <c r="A764" s="2" t="s">
        <v>32</v>
      </c>
      <c r="B764" s="23" t="s">
        <v>42</v>
      </c>
      <c r="C764" s="2">
        <v>20</v>
      </c>
      <c r="D764" s="2" t="s">
        <v>8</v>
      </c>
      <c r="E764" s="25">
        <f>(382+437+373-14.8-67.5+99)/1000</f>
        <v>1.2087</v>
      </c>
      <c r="F764" s="45">
        <v>245000</v>
      </c>
      <c r="G764" s="36" t="s">
        <v>590</v>
      </c>
      <c r="H764" s="5"/>
      <c r="I764" s="5"/>
      <c r="J764" s="5"/>
    </row>
    <row r="765" spans="1:10" ht="12.75">
      <c r="A765" s="2" t="s">
        <v>32</v>
      </c>
      <c r="B765" s="21" t="s">
        <v>66</v>
      </c>
      <c r="C765" s="2">
        <v>40</v>
      </c>
      <c r="D765" s="2" t="s">
        <v>8</v>
      </c>
      <c r="E765" s="25">
        <v>1.075</v>
      </c>
      <c r="F765" s="45">
        <v>380000</v>
      </c>
      <c r="G765" s="36" t="s">
        <v>236</v>
      </c>
      <c r="H765" s="5"/>
      <c r="I765" s="5"/>
      <c r="J765" s="5"/>
    </row>
    <row r="766" spans="1:10" ht="12.75">
      <c r="A766" s="2" t="s">
        <v>32</v>
      </c>
      <c r="B766" s="23" t="s">
        <v>118</v>
      </c>
      <c r="C766" s="2">
        <v>60</v>
      </c>
      <c r="D766" s="2" t="s">
        <v>8</v>
      </c>
      <c r="E766" s="25">
        <v>0.154</v>
      </c>
      <c r="F766" s="45">
        <v>320000</v>
      </c>
      <c r="G766" s="36" t="s">
        <v>237</v>
      </c>
      <c r="H766" s="5"/>
      <c r="I766" s="5"/>
      <c r="J766" s="5"/>
    </row>
    <row r="767" spans="1:10" s="4" customFormat="1" ht="12.75">
      <c r="A767" s="2" t="s">
        <v>32</v>
      </c>
      <c r="B767" s="21" t="s">
        <v>19</v>
      </c>
      <c r="C767" s="2" t="s">
        <v>71</v>
      </c>
      <c r="D767" s="2" t="s">
        <v>8</v>
      </c>
      <c r="E767" s="25">
        <f>0.227-0.01-0.023-0.008-0.02-0.032</f>
        <v>0.134</v>
      </c>
      <c r="F767" s="45">
        <v>720000</v>
      </c>
      <c r="G767" s="36"/>
      <c r="H767" s="5"/>
      <c r="I767" s="5"/>
      <c r="J767" s="5"/>
    </row>
    <row r="768" spans="1:10" s="4" customFormat="1" ht="12.75">
      <c r="A768" s="2" t="s">
        <v>32</v>
      </c>
      <c r="B768" s="21" t="s">
        <v>19</v>
      </c>
      <c r="C768" s="2" t="s">
        <v>72</v>
      </c>
      <c r="D768" s="2" t="s">
        <v>8</v>
      </c>
      <c r="E768" s="25">
        <f>0.085-0.031</f>
        <v>0.054000000000000006</v>
      </c>
      <c r="F768" s="45">
        <v>720000</v>
      </c>
      <c r="G768" s="36"/>
      <c r="H768" s="5"/>
      <c r="I768" s="5"/>
      <c r="J768" s="5"/>
    </row>
    <row r="769" spans="1:10" s="4" customFormat="1" ht="12.75">
      <c r="A769" s="2" t="s">
        <v>178</v>
      </c>
      <c r="B769" s="20" t="s">
        <v>35</v>
      </c>
      <c r="C769" s="2" t="s">
        <v>191</v>
      </c>
      <c r="D769" s="2" t="s">
        <v>8</v>
      </c>
      <c r="E769" s="2">
        <v>0.142</v>
      </c>
      <c r="F769" s="45">
        <v>170000</v>
      </c>
      <c r="G769" s="36"/>
      <c r="H769" s="6"/>
      <c r="I769" s="6"/>
      <c r="J769" s="6"/>
    </row>
    <row r="770" spans="1:10" s="4" customFormat="1" ht="12.75">
      <c r="A770" s="2" t="s">
        <v>112</v>
      </c>
      <c r="B770" s="27" t="s">
        <v>111</v>
      </c>
      <c r="C770" s="2">
        <v>0.5</v>
      </c>
      <c r="D770" s="2" t="s">
        <v>8</v>
      </c>
      <c r="E770" s="25">
        <f>(75.4-8)/1000</f>
        <v>0.0674</v>
      </c>
      <c r="F770" s="45">
        <v>3500000</v>
      </c>
      <c r="G770" s="36" t="s">
        <v>123</v>
      </c>
      <c r="H770" s="6"/>
      <c r="I770" s="6"/>
      <c r="J770" s="6"/>
    </row>
    <row r="771" spans="1:10" s="4" customFormat="1" ht="12.75">
      <c r="A771" s="2" t="s">
        <v>112</v>
      </c>
      <c r="B771" s="27" t="s">
        <v>111</v>
      </c>
      <c r="C771" s="2">
        <v>0.6</v>
      </c>
      <c r="D771" s="2" t="s">
        <v>8</v>
      </c>
      <c r="E771" s="25">
        <f>(33.45)/1000</f>
        <v>0.03345</v>
      </c>
      <c r="F771" s="45">
        <f>3500000</f>
        <v>3500000</v>
      </c>
      <c r="G771" s="36" t="s">
        <v>243</v>
      </c>
      <c r="H771" s="6"/>
      <c r="I771" s="6"/>
      <c r="J771" s="6"/>
    </row>
    <row r="772" spans="1:10" s="4" customFormat="1" ht="12.75">
      <c r="A772" s="2" t="s">
        <v>112</v>
      </c>
      <c r="B772" s="27" t="s">
        <v>111</v>
      </c>
      <c r="C772" s="2">
        <v>0.9</v>
      </c>
      <c r="D772" s="2" t="s">
        <v>8</v>
      </c>
      <c r="E772" s="25">
        <f>(45-4.5-4.5)/1000</f>
        <v>0.036</v>
      </c>
      <c r="F772" s="45">
        <v>3500000</v>
      </c>
      <c r="G772" s="36" t="s">
        <v>345</v>
      </c>
      <c r="H772" s="6"/>
      <c r="I772" s="6"/>
      <c r="J772" s="6"/>
    </row>
    <row r="773" spans="1:10" s="4" customFormat="1" ht="12.75">
      <c r="A773" s="2" t="s">
        <v>112</v>
      </c>
      <c r="B773" s="27" t="s">
        <v>111</v>
      </c>
      <c r="C773" s="2">
        <v>1</v>
      </c>
      <c r="D773" s="2" t="s">
        <v>8</v>
      </c>
      <c r="E773" s="25">
        <f>45/1000</f>
        <v>0.045</v>
      </c>
      <c r="F773" s="45">
        <v>3500000</v>
      </c>
      <c r="G773" s="36" t="s">
        <v>192</v>
      </c>
      <c r="H773" s="6"/>
      <c r="I773" s="6"/>
      <c r="J773" s="6"/>
    </row>
    <row r="774" spans="1:10" ht="12.75">
      <c r="A774" s="2" t="s">
        <v>112</v>
      </c>
      <c r="B774" s="27" t="s">
        <v>111</v>
      </c>
      <c r="C774" s="2">
        <v>1.2</v>
      </c>
      <c r="D774" s="2" t="s">
        <v>8</v>
      </c>
      <c r="E774" s="25">
        <f>127.4/1000</f>
        <v>0.1274</v>
      </c>
      <c r="F774" s="45">
        <v>3500000</v>
      </c>
      <c r="G774" s="36" t="s">
        <v>123</v>
      </c>
      <c r="H774" s="5"/>
      <c r="I774" s="5"/>
      <c r="J774" s="5"/>
    </row>
    <row r="775" spans="1:10" s="4" customFormat="1" ht="12.75">
      <c r="A775" s="2" t="s">
        <v>112</v>
      </c>
      <c r="B775" s="27" t="s">
        <v>212</v>
      </c>
      <c r="C775" s="2">
        <v>1.2</v>
      </c>
      <c r="D775" s="2" t="s">
        <v>8</v>
      </c>
      <c r="E775" s="2">
        <v>0.369</v>
      </c>
      <c r="F775" s="45">
        <v>970000</v>
      </c>
      <c r="G775" s="36" t="s">
        <v>194</v>
      </c>
      <c r="H775" s="6"/>
      <c r="I775" s="6"/>
      <c r="J775" s="6"/>
    </row>
    <row r="776" spans="1:10" ht="12.75">
      <c r="A776" s="2" t="s">
        <v>112</v>
      </c>
      <c r="B776" s="23" t="s">
        <v>78</v>
      </c>
      <c r="C776" s="2">
        <v>1.8</v>
      </c>
      <c r="D776" s="2" t="s">
        <v>8</v>
      </c>
      <c r="E776" s="2">
        <v>0.028</v>
      </c>
      <c r="F776" s="45">
        <v>3570000</v>
      </c>
      <c r="G776" s="36" t="s">
        <v>296</v>
      </c>
      <c r="H776" s="5"/>
      <c r="I776" s="5"/>
      <c r="J776" s="5"/>
    </row>
    <row r="777" spans="1:10" ht="12.75">
      <c r="A777" s="2" t="s">
        <v>112</v>
      </c>
      <c r="B777" s="20" t="s">
        <v>110</v>
      </c>
      <c r="C777" s="2">
        <v>3</v>
      </c>
      <c r="D777" s="2" t="s">
        <v>8</v>
      </c>
      <c r="E777" s="2">
        <v>0.254</v>
      </c>
      <c r="F777" s="45">
        <v>970000</v>
      </c>
      <c r="G777" s="36" t="s">
        <v>297</v>
      </c>
      <c r="H777" s="6"/>
      <c r="I777" s="6"/>
      <c r="J777" s="6"/>
    </row>
    <row r="778" spans="1:10" s="3" customFormat="1" ht="12.75">
      <c r="A778" s="2" t="s">
        <v>252</v>
      </c>
      <c r="B778" s="27" t="s">
        <v>215</v>
      </c>
      <c r="C778" s="2" t="s">
        <v>77</v>
      </c>
      <c r="D778" s="2" t="s">
        <v>8</v>
      </c>
      <c r="E778" s="25">
        <f>0.12</f>
        <v>0.12</v>
      </c>
      <c r="F778" s="45">
        <v>740000</v>
      </c>
      <c r="G778" s="36"/>
      <c r="H778" s="6"/>
      <c r="I778" s="6"/>
      <c r="J778" s="6"/>
    </row>
    <row r="779" spans="1:10" ht="12.75">
      <c r="A779" s="2" t="s">
        <v>252</v>
      </c>
      <c r="B779" s="20" t="s">
        <v>110</v>
      </c>
      <c r="C779" s="24" t="s">
        <v>261</v>
      </c>
      <c r="D779" s="2" t="s">
        <v>8</v>
      </c>
      <c r="E779" s="25">
        <v>0.013</v>
      </c>
      <c r="F779" s="45">
        <v>1850000</v>
      </c>
      <c r="G779" s="36" t="s">
        <v>262</v>
      </c>
      <c r="H779" s="6"/>
      <c r="I779" s="6"/>
      <c r="J779" s="6"/>
    </row>
    <row r="780" spans="1:10" ht="12.75">
      <c r="A780" s="2" t="s">
        <v>252</v>
      </c>
      <c r="B780" s="20" t="s">
        <v>110</v>
      </c>
      <c r="C780" s="24" t="s">
        <v>253</v>
      </c>
      <c r="D780" s="2" t="s">
        <v>8</v>
      </c>
      <c r="E780" s="25">
        <f>(220-20)/1000</f>
        <v>0.2</v>
      </c>
      <c r="F780" s="45">
        <v>1400000</v>
      </c>
      <c r="G780" s="36" t="s">
        <v>262</v>
      </c>
      <c r="H780" s="6"/>
      <c r="I780" s="6"/>
      <c r="J780" s="6"/>
    </row>
    <row r="781" spans="1:10" ht="12.75">
      <c r="A781" s="2" t="s">
        <v>252</v>
      </c>
      <c r="B781" s="20" t="s">
        <v>110</v>
      </c>
      <c r="C781" s="24" t="s">
        <v>254</v>
      </c>
      <c r="D781" s="2" t="s">
        <v>8</v>
      </c>
      <c r="E781" s="25">
        <v>0.276</v>
      </c>
      <c r="F781" s="45">
        <v>1400000</v>
      </c>
      <c r="G781" s="36" t="s">
        <v>274</v>
      </c>
      <c r="H781" s="6"/>
      <c r="I781" s="6"/>
      <c r="J781" s="6"/>
    </row>
    <row r="782" spans="1:10" ht="12.75">
      <c r="A782" s="2" t="s">
        <v>252</v>
      </c>
      <c r="B782" s="20" t="s">
        <v>110</v>
      </c>
      <c r="C782" s="24" t="s">
        <v>259</v>
      </c>
      <c r="D782" s="2" t="s">
        <v>8</v>
      </c>
      <c r="E782" s="25">
        <v>0.43</v>
      </c>
      <c r="F782" s="45">
        <v>1400000</v>
      </c>
      <c r="G782" s="36" t="s">
        <v>273</v>
      </c>
      <c r="H782" s="6"/>
      <c r="I782" s="6"/>
      <c r="J782" s="6"/>
    </row>
    <row r="783" spans="1:10" ht="12.75">
      <c r="A783" s="2" t="s">
        <v>252</v>
      </c>
      <c r="B783" s="27" t="s">
        <v>215</v>
      </c>
      <c r="C783" s="2" t="s">
        <v>563</v>
      </c>
      <c r="D783" s="2" t="s">
        <v>8</v>
      </c>
      <c r="E783" s="25">
        <v>0.022</v>
      </c>
      <c r="F783" s="45">
        <v>1024000</v>
      </c>
      <c r="G783" s="36"/>
      <c r="H783" s="6"/>
      <c r="I783" s="6"/>
      <c r="J783" s="6"/>
    </row>
    <row r="784" spans="1:10" ht="12.75">
      <c r="A784" s="2" t="s">
        <v>252</v>
      </c>
      <c r="B784" s="20" t="s">
        <v>110</v>
      </c>
      <c r="C784" s="24" t="s">
        <v>255</v>
      </c>
      <c r="D784" s="2" t="s">
        <v>8</v>
      </c>
      <c r="E784" s="25">
        <f>0.668</f>
        <v>0.668</v>
      </c>
      <c r="F784" s="45">
        <v>1400000</v>
      </c>
      <c r="G784" s="36" t="s">
        <v>460</v>
      </c>
      <c r="H784" s="6"/>
      <c r="I784" s="6"/>
      <c r="J784" s="6"/>
    </row>
    <row r="785" spans="1:10" ht="12.75">
      <c r="A785" s="2" t="s">
        <v>252</v>
      </c>
      <c r="B785" s="20" t="s">
        <v>171</v>
      </c>
      <c r="C785" s="24" t="s">
        <v>104</v>
      </c>
      <c r="D785" s="2" t="s">
        <v>8</v>
      </c>
      <c r="E785" s="25">
        <v>0.105</v>
      </c>
      <c r="F785" s="45">
        <v>950000</v>
      </c>
      <c r="G785" s="36" t="s">
        <v>260</v>
      </c>
      <c r="H785" s="6"/>
      <c r="I785" s="6"/>
      <c r="J785" s="6"/>
    </row>
    <row r="786" spans="1:10" ht="12.75">
      <c r="A786" s="2" t="s">
        <v>40</v>
      </c>
      <c r="B786" s="21" t="s">
        <v>132</v>
      </c>
      <c r="C786" s="2" t="s">
        <v>131</v>
      </c>
      <c r="D786" s="2" t="s">
        <v>8</v>
      </c>
      <c r="E786" s="25">
        <f>0.167</f>
        <v>0.167</v>
      </c>
      <c r="F786" s="45">
        <v>100000</v>
      </c>
      <c r="G786" s="36" t="s">
        <v>155</v>
      </c>
      <c r="H786" s="5"/>
      <c r="I786" s="5"/>
      <c r="J786" s="5"/>
    </row>
    <row r="787" spans="1:10" ht="12.75">
      <c r="A787" s="2" t="s">
        <v>40</v>
      </c>
      <c r="B787" s="21" t="s">
        <v>13</v>
      </c>
      <c r="C787" s="2" t="s">
        <v>135</v>
      </c>
      <c r="D787" s="2" t="s">
        <v>8</v>
      </c>
      <c r="E787" s="25">
        <v>0.365</v>
      </c>
      <c r="F787" s="45">
        <v>65000</v>
      </c>
      <c r="G787" s="36" t="s">
        <v>128</v>
      </c>
      <c r="H787" s="5"/>
      <c r="I787" s="5"/>
      <c r="J787" s="5"/>
    </row>
    <row r="788" spans="1:10" s="4" customFormat="1" ht="12" customHeight="1">
      <c r="A788" s="2" t="s">
        <v>40</v>
      </c>
      <c r="B788" s="21" t="s">
        <v>13</v>
      </c>
      <c r="C788" s="2" t="s">
        <v>126</v>
      </c>
      <c r="D788" s="2" t="s">
        <v>8</v>
      </c>
      <c r="E788" s="25">
        <f>0.115-0.045</f>
        <v>0.07</v>
      </c>
      <c r="F788" s="45"/>
      <c r="G788" s="36" t="s">
        <v>129</v>
      </c>
      <c r="H788" s="5"/>
      <c r="I788" s="5"/>
      <c r="J788" s="5"/>
    </row>
    <row r="789" spans="1:10" ht="12.75">
      <c r="A789" s="2" t="s">
        <v>40</v>
      </c>
      <c r="B789" s="21" t="s">
        <v>13</v>
      </c>
      <c r="C789" s="2" t="s">
        <v>472</v>
      </c>
      <c r="D789" s="2" t="s">
        <v>8</v>
      </c>
      <c r="E789" s="25">
        <v>0.026</v>
      </c>
      <c r="F789" s="45"/>
      <c r="G789" s="36" t="s">
        <v>128</v>
      </c>
      <c r="H789" s="5"/>
      <c r="I789" s="5"/>
      <c r="J789" s="5"/>
    </row>
    <row r="790" spans="1:10" s="4" customFormat="1" ht="12.75">
      <c r="A790" s="2" t="s">
        <v>40</v>
      </c>
      <c r="B790" s="21" t="s">
        <v>13</v>
      </c>
      <c r="C790" s="2" t="s">
        <v>127</v>
      </c>
      <c r="D790" s="2" t="s">
        <v>8</v>
      </c>
      <c r="E790" s="25">
        <f>0.07-0.033</f>
        <v>0.037000000000000005</v>
      </c>
      <c r="F790" s="45"/>
      <c r="G790" s="36" t="s">
        <v>128</v>
      </c>
      <c r="H790" s="5"/>
      <c r="I790" s="5"/>
      <c r="J790" s="5"/>
    </row>
    <row r="791" spans="1:10" s="3" customFormat="1" ht="12.75">
      <c r="A791" s="2" t="s">
        <v>40</v>
      </c>
      <c r="B791" s="27" t="s">
        <v>1</v>
      </c>
      <c r="C791" s="2" t="s">
        <v>104</v>
      </c>
      <c r="D791" s="2" t="s">
        <v>8</v>
      </c>
      <c r="E791" s="25">
        <f>(7.2-1)/1000</f>
        <v>0.0062</v>
      </c>
      <c r="F791" s="45">
        <v>2685000</v>
      </c>
      <c r="G791" s="36" t="s">
        <v>103</v>
      </c>
      <c r="H791" s="5"/>
      <c r="I791" s="5"/>
      <c r="J791" s="5"/>
    </row>
    <row r="792" spans="1:10" s="4" customFormat="1" ht="12.75">
      <c r="A792" s="2" t="s">
        <v>40</v>
      </c>
      <c r="B792" s="27" t="s">
        <v>1</v>
      </c>
      <c r="C792" s="2" t="s">
        <v>105</v>
      </c>
      <c r="D792" s="2" t="s">
        <v>8</v>
      </c>
      <c r="E792" s="25">
        <f>(29.5-7.5)/1000</f>
        <v>0.022</v>
      </c>
      <c r="F792" s="45">
        <v>644000</v>
      </c>
      <c r="G792" s="36" t="s">
        <v>103</v>
      </c>
      <c r="H792" s="5"/>
      <c r="I792" s="5"/>
      <c r="J792" s="5"/>
    </row>
    <row r="793" spans="1:10" ht="12.75">
      <c r="A793" s="2" t="s">
        <v>121</v>
      </c>
      <c r="B793" s="20" t="s">
        <v>488</v>
      </c>
      <c r="C793" s="2" t="s">
        <v>490</v>
      </c>
      <c r="D793" s="2" t="s">
        <v>8</v>
      </c>
      <c r="E793" s="25">
        <v>0.046</v>
      </c>
      <c r="F793" s="45">
        <v>700000</v>
      </c>
      <c r="G793" s="36" t="s">
        <v>489</v>
      </c>
      <c r="H793" s="5"/>
      <c r="I793" s="5"/>
      <c r="J793" s="5"/>
    </row>
    <row r="794" spans="1:10" ht="12.75">
      <c r="A794" s="2" t="s">
        <v>121</v>
      </c>
      <c r="B794" s="20" t="s">
        <v>488</v>
      </c>
      <c r="C794" s="2" t="s">
        <v>492</v>
      </c>
      <c r="D794" s="2" t="s">
        <v>8</v>
      </c>
      <c r="E794" s="25">
        <f>0.058</f>
        <v>0.058</v>
      </c>
      <c r="F794" s="45">
        <v>700000</v>
      </c>
      <c r="G794" s="36" t="s">
        <v>491</v>
      </c>
      <c r="H794" s="5"/>
      <c r="I794" s="5"/>
      <c r="J794" s="5"/>
    </row>
    <row r="795" spans="1:10" s="3" customFormat="1" ht="12.75">
      <c r="A795" s="2" t="s">
        <v>120</v>
      </c>
      <c r="B795" s="20" t="s">
        <v>488</v>
      </c>
      <c r="C795" s="2" t="s">
        <v>486</v>
      </c>
      <c r="D795" s="2" t="s">
        <v>8</v>
      </c>
      <c r="E795" s="25">
        <v>0.096</v>
      </c>
      <c r="F795" s="45">
        <v>770000</v>
      </c>
      <c r="G795" s="36" t="s">
        <v>487</v>
      </c>
      <c r="H795" s="5"/>
      <c r="I795" s="5"/>
      <c r="J795" s="5"/>
    </row>
    <row r="796" spans="1:10" s="4" customFormat="1" ht="12.75">
      <c r="A796" s="2" t="s">
        <v>43</v>
      </c>
      <c r="B796" s="20" t="s">
        <v>171</v>
      </c>
      <c r="C796" s="2">
        <v>10</v>
      </c>
      <c r="D796" s="2" t="s">
        <v>8</v>
      </c>
      <c r="E796" s="2">
        <f>0.08-0.005</f>
        <v>0.075</v>
      </c>
      <c r="F796" s="45">
        <v>480000</v>
      </c>
      <c r="G796" s="36"/>
      <c r="H796" s="6"/>
      <c r="I796" s="6"/>
      <c r="J796" s="6"/>
    </row>
    <row r="797" spans="1:10" ht="12.75">
      <c r="A797" s="2" t="s">
        <v>43</v>
      </c>
      <c r="B797" s="22" t="s">
        <v>179</v>
      </c>
      <c r="C797" s="2">
        <v>250</v>
      </c>
      <c r="D797" s="2" t="s">
        <v>8</v>
      </c>
      <c r="E797" s="2">
        <f>0.588</f>
        <v>0.588</v>
      </c>
      <c r="F797" s="45">
        <v>480000</v>
      </c>
      <c r="G797" s="36" t="s">
        <v>437</v>
      </c>
      <c r="H797" s="6"/>
      <c r="I797" s="6"/>
      <c r="J797" s="6"/>
    </row>
    <row r="798" spans="1:10" s="4" customFormat="1" ht="12.75">
      <c r="A798" s="2" t="s">
        <v>25</v>
      </c>
      <c r="B798" s="20" t="s">
        <v>110</v>
      </c>
      <c r="C798" s="2" t="s">
        <v>248</v>
      </c>
      <c r="D798" s="2" t="s">
        <v>8</v>
      </c>
      <c r="E798" s="2">
        <v>0.144</v>
      </c>
      <c r="F798" s="45">
        <v>850000</v>
      </c>
      <c r="G798" s="36" t="s">
        <v>109</v>
      </c>
      <c r="H798" s="5"/>
      <c r="I798" s="5"/>
      <c r="J798" s="5"/>
    </row>
    <row r="799" spans="1:10" ht="12.75">
      <c r="A799" s="2" t="s">
        <v>82</v>
      </c>
      <c r="B799" s="26">
        <v>2212</v>
      </c>
      <c r="C799" s="2" t="s">
        <v>83</v>
      </c>
      <c r="D799" s="2" t="s">
        <v>8</v>
      </c>
      <c r="E799" s="2">
        <f>1.083-0.066-0.079-0.129-0.084-0.08-0.043-0.101-0.128</f>
        <v>0.373</v>
      </c>
      <c r="F799" s="45">
        <v>169000</v>
      </c>
      <c r="G799" s="36" t="s">
        <v>152</v>
      </c>
      <c r="H799" s="6"/>
      <c r="I799" s="6"/>
      <c r="J799" s="6"/>
    </row>
    <row r="800" spans="1:10" s="4" customFormat="1" ht="12.75">
      <c r="A800" s="2" t="s">
        <v>54</v>
      </c>
      <c r="B800" s="22" t="s">
        <v>55</v>
      </c>
      <c r="C800" s="2" t="s">
        <v>63</v>
      </c>
      <c r="D800" s="2" t="s">
        <v>8</v>
      </c>
      <c r="E800" s="2">
        <f>0.034</f>
        <v>0.034</v>
      </c>
      <c r="F800" s="45">
        <v>324000</v>
      </c>
      <c r="G800" s="36"/>
      <c r="H800" s="5"/>
      <c r="I800" s="5"/>
      <c r="J800" s="5"/>
    </row>
    <row r="801" spans="1:10" s="4" customFormat="1" ht="12.75">
      <c r="A801" s="2" t="s">
        <v>54</v>
      </c>
      <c r="B801" s="22" t="s">
        <v>64</v>
      </c>
      <c r="C801" s="2" t="s">
        <v>65</v>
      </c>
      <c r="D801" s="2" t="s">
        <v>8</v>
      </c>
      <c r="E801" s="2">
        <v>0.08</v>
      </c>
      <c r="F801" s="45">
        <v>340000</v>
      </c>
      <c r="G801" s="36"/>
      <c r="H801" s="5"/>
      <c r="I801" s="5"/>
      <c r="J801" s="5"/>
    </row>
    <row r="802" spans="1:10" ht="12.75">
      <c r="A802" s="2" t="s">
        <v>54</v>
      </c>
      <c r="B802" s="22" t="s">
        <v>195</v>
      </c>
      <c r="C802" s="2" t="s">
        <v>196</v>
      </c>
      <c r="D802" s="2" t="s">
        <v>8</v>
      </c>
      <c r="E802" s="2">
        <v>0.188</v>
      </c>
      <c r="F802" s="45">
        <v>340000</v>
      </c>
      <c r="G802" s="36" t="s">
        <v>197</v>
      </c>
      <c r="H802" s="6"/>
      <c r="I802" s="6"/>
      <c r="J802" s="6"/>
    </row>
    <row r="803" spans="1:10" ht="12.75">
      <c r="A803" s="2" t="s">
        <v>30</v>
      </c>
      <c r="B803" s="23" t="s">
        <v>42</v>
      </c>
      <c r="C803" s="2">
        <v>12</v>
      </c>
      <c r="D803" s="2" t="s">
        <v>8</v>
      </c>
      <c r="E803" s="2">
        <f>0.148-0.005-0.003-0.006-0.079-0.048</f>
        <v>0.0069999999999999785</v>
      </c>
      <c r="F803" s="45"/>
      <c r="G803" s="36" t="s">
        <v>411</v>
      </c>
      <c r="H803" s="6"/>
      <c r="I803" s="6"/>
      <c r="J803" s="6"/>
    </row>
    <row r="804" spans="1:10" s="4" customFormat="1" ht="12.75">
      <c r="A804" s="2" t="s">
        <v>30</v>
      </c>
      <c r="B804" s="21" t="s">
        <v>116</v>
      </c>
      <c r="C804" s="2">
        <v>12</v>
      </c>
      <c r="D804" s="2" t="s">
        <v>8</v>
      </c>
      <c r="E804" s="2">
        <f>0.04-0.007-0.005</f>
        <v>0.028</v>
      </c>
      <c r="F804" s="45"/>
      <c r="G804" s="36" t="s">
        <v>231</v>
      </c>
      <c r="H804" s="6"/>
      <c r="I804" s="6"/>
      <c r="J804" s="6"/>
    </row>
    <row r="805" spans="1:10" s="4" customFormat="1" ht="12.75">
      <c r="A805" s="2" t="s">
        <v>30</v>
      </c>
      <c r="B805" s="21" t="s">
        <v>116</v>
      </c>
      <c r="C805" s="2">
        <v>16</v>
      </c>
      <c r="D805" s="2" t="s">
        <v>8</v>
      </c>
      <c r="E805" s="2">
        <v>0.031</v>
      </c>
      <c r="F805" s="45"/>
      <c r="G805" s="36"/>
      <c r="H805" s="6"/>
      <c r="I805" s="6"/>
      <c r="J805" s="6"/>
    </row>
    <row r="806" spans="1:248" s="4" customFormat="1" ht="12.75">
      <c r="A806" s="2" t="s">
        <v>29</v>
      </c>
      <c r="B806" s="21" t="s">
        <v>20</v>
      </c>
      <c r="C806" s="2">
        <v>4</v>
      </c>
      <c r="D806" s="2" t="s">
        <v>8</v>
      </c>
      <c r="E806" s="2">
        <f>0.04</f>
        <v>0.04</v>
      </c>
      <c r="F806" s="45"/>
      <c r="G806" s="36" t="s">
        <v>400</v>
      </c>
      <c r="H806" s="6"/>
      <c r="I806" s="6"/>
      <c r="J806" s="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</row>
    <row r="807" spans="1:10" ht="12.75">
      <c r="A807" s="2" t="s">
        <v>29</v>
      </c>
      <c r="B807" s="21" t="s">
        <v>20</v>
      </c>
      <c r="C807" s="2">
        <v>5</v>
      </c>
      <c r="D807" s="2" t="s">
        <v>8</v>
      </c>
      <c r="E807" s="2">
        <f>0.1-0.055-0.012</f>
        <v>0.033</v>
      </c>
      <c r="F807" s="45"/>
      <c r="G807" s="36" t="s">
        <v>400</v>
      </c>
      <c r="H807" s="6"/>
      <c r="I807" s="6"/>
      <c r="J807" s="6"/>
    </row>
    <row r="808" spans="1:10" ht="12.75">
      <c r="A808" s="2" t="s">
        <v>29</v>
      </c>
      <c r="B808" s="21" t="s">
        <v>20</v>
      </c>
      <c r="C808" s="2">
        <v>6</v>
      </c>
      <c r="D808" s="2" t="s">
        <v>8</v>
      </c>
      <c r="E808" s="2">
        <f>0.11-0.009-0.035+0.223-0.129-0.052-0.013-0.055</f>
        <v>0.04000000000000004</v>
      </c>
      <c r="F808" s="45"/>
      <c r="G808" s="36" t="s">
        <v>400</v>
      </c>
      <c r="H808" s="6"/>
      <c r="I808" s="6"/>
      <c r="J808" s="6"/>
    </row>
    <row r="809" spans="1:10" s="4" customFormat="1" ht="12.75">
      <c r="A809" s="2" t="s">
        <v>29</v>
      </c>
      <c r="B809" s="27" t="s">
        <v>1</v>
      </c>
      <c r="C809" s="2">
        <v>8</v>
      </c>
      <c r="D809" s="2" t="s">
        <v>8</v>
      </c>
      <c r="E809" s="2">
        <f>0.022-0.005</f>
        <v>0.016999999999999998</v>
      </c>
      <c r="F809" s="45"/>
      <c r="G809" s="36" t="s">
        <v>315</v>
      </c>
      <c r="H809" s="6" t="s">
        <v>281</v>
      </c>
      <c r="I809" s="6"/>
      <c r="J809" s="6"/>
    </row>
    <row r="810" spans="1:10" ht="12.75">
      <c r="A810" s="2" t="s">
        <v>29</v>
      </c>
      <c r="B810" s="27" t="s">
        <v>1</v>
      </c>
      <c r="C810" s="2">
        <v>12</v>
      </c>
      <c r="D810" s="2" t="s">
        <v>8</v>
      </c>
      <c r="E810" s="2">
        <f>(51-31-7)/1000</f>
        <v>0.013</v>
      </c>
      <c r="F810" s="45">
        <v>0</v>
      </c>
      <c r="G810" s="36" t="s">
        <v>510</v>
      </c>
      <c r="H810" s="6"/>
      <c r="I810" s="6"/>
      <c r="J810" s="6"/>
    </row>
    <row r="811" spans="1:10" s="4" customFormat="1" ht="12.75">
      <c r="A811" s="2" t="s">
        <v>29</v>
      </c>
      <c r="B811" s="27" t="s">
        <v>1</v>
      </c>
      <c r="C811" s="2">
        <v>16</v>
      </c>
      <c r="D811" s="2" t="s">
        <v>8</v>
      </c>
      <c r="E811" s="2">
        <f>0.072-0.048</f>
        <v>0.023999999999999994</v>
      </c>
      <c r="F811" s="45"/>
      <c r="G811" s="36" t="s">
        <v>402</v>
      </c>
      <c r="H811" s="6"/>
      <c r="I811" s="6"/>
      <c r="J811" s="6"/>
    </row>
    <row r="812" spans="1:10" s="4" customFormat="1" ht="12.75">
      <c r="A812" s="2" t="s">
        <v>29</v>
      </c>
      <c r="B812" s="20" t="s">
        <v>154</v>
      </c>
      <c r="C812" s="2">
        <v>40</v>
      </c>
      <c r="D812" s="2" t="s">
        <v>8</v>
      </c>
      <c r="E812" s="25">
        <f>0.013</f>
        <v>0.013</v>
      </c>
      <c r="F812" s="45"/>
      <c r="G812" s="36">
        <v>1.3</v>
      </c>
      <c r="H812" s="6"/>
      <c r="I812" s="6"/>
      <c r="J812" s="6"/>
    </row>
    <row r="813" spans="1:10" s="4" customFormat="1" ht="12.75">
      <c r="A813" s="2" t="s">
        <v>29</v>
      </c>
      <c r="B813" s="27" t="s">
        <v>74</v>
      </c>
      <c r="C813" s="2">
        <v>40</v>
      </c>
      <c r="D813" s="2" t="s">
        <v>8</v>
      </c>
      <c r="E813" s="25">
        <v>0.008</v>
      </c>
      <c r="F813" s="45"/>
      <c r="G813" s="36" t="s">
        <v>244</v>
      </c>
      <c r="H813" s="6"/>
      <c r="I813" s="6"/>
      <c r="J813" s="6"/>
    </row>
    <row r="814" spans="1:10" s="4" customFormat="1" ht="12.75">
      <c r="A814" s="2" t="s">
        <v>29</v>
      </c>
      <c r="B814" s="20" t="s">
        <v>61</v>
      </c>
      <c r="C814" s="2">
        <v>60</v>
      </c>
      <c r="D814" s="2" t="s">
        <v>8</v>
      </c>
      <c r="E814" s="25">
        <f>0.1-0.013</f>
        <v>0.08700000000000001</v>
      </c>
      <c r="F814" s="45"/>
      <c r="G814" s="36"/>
      <c r="H814" s="5"/>
      <c r="I814" s="5"/>
      <c r="J814" s="5"/>
    </row>
    <row r="815" spans="1:10" s="4" customFormat="1" ht="12.75">
      <c r="A815" s="2" t="s">
        <v>29</v>
      </c>
      <c r="B815" s="20" t="s">
        <v>61</v>
      </c>
      <c r="C815" s="2">
        <v>75</v>
      </c>
      <c r="D815" s="2" t="s">
        <v>8</v>
      </c>
      <c r="E815" s="25">
        <f>0.2-0.011</f>
        <v>0.189</v>
      </c>
      <c r="F815" s="45"/>
      <c r="G815" s="36"/>
      <c r="H815" s="5"/>
      <c r="I815" s="5"/>
      <c r="J815" s="5"/>
    </row>
    <row r="816" spans="1:10" s="4" customFormat="1" ht="12.75">
      <c r="A816" s="2" t="s">
        <v>29</v>
      </c>
      <c r="B816" s="23" t="s">
        <v>275</v>
      </c>
      <c r="C816" s="2">
        <v>80</v>
      </c>
      <c r="D816" s="2" t="s">
        <v>8</v>
      </c>
      <c r="E816" s="2">
        <f>0.068</f>
        <v>0.068</v>
      </c>
      <c r="F816" s="45"/>
      <c r="G816" s="62"/>
      <c r="H816" s="6"/>
      <c r="I816" s="6"/>
      <c r="J816" s="6"/>
    </row>
    <row r="817" spans="1:10" s="4" customFormat="1" ht="12.75">
      <c r="A817" s="2" t="s">
        <v>31</v>
      </c>
      <c r="B817" s="23" t="s">
        <v>18</v>
      </c>
      <c r="C817" s="2">
        <v>45</v>
      </c>
      <c r="D817" s="2" t="s">
        <v>8</v>
      </c>
      <c r="E817" s="25">
        <f>0.019</f>
        <v>0.019</v>
      </c>
      <c r="F817" s="45"/>
      <c r="G817" s="36" t="s">
        <v>53</v>
      </c>
      <c r="H817" s="6"/>
      <c r="I817" s="6"/>
      <c r="J817" s="6"/>
    </row>
    <row r="818" spans="1:10" s="4" customFormat="1" ht="12.75">
      <c r="A818" s="2" t="s">
        <v>2</v>
      </c>
      <c r="B818" s="20" t="s">
        <v>171</v>
      </c>
      <c r="C818" s="2">
        <v>12</v>
      </c>
      <c r="D818" s="2" t="s">
        <v>8</v>
      </c>
      <c r="E818" s="2">
        <f>0.006</f>
        <v>0.006</v>
      </c>
      <c r="F818" s="45"/>
      <c r="G818" s="36"/>
      <c r="H818" s="6"/>
      <c r="I818" s="6"/>
      <c r="J818" s="6"/>
    </row>
    <row r="819" spans="1:10" s="4" customFormat="1" ht="12.75">
      <c r="A819" s="2" t="s">
        <v>2</v>
      </c>
      <c r="B819" s="20" t="s">
        <v>171</v>
      </c>
      <c r="C819" s="2">
        <v>18</v>
      </c>
      <c r="D819" s="2" t="s">
        <v>8</v>
      </c>
      <c r="E819" s="2">
        <v>0.008</v>
      </c>
      <c r="F819" s="45"/>
      <c r="G819" s="36"/>
      <c r="H819" s="6"/>
      <c r="I819" s="6"/>
      <c r="J819" s="6"/>
    </row>
    <row r="820" spans="1:10" s="4" customFormat="1" ht="12.75">
      <c r="A820" s="2" t="s">
        <v>2</v>
      </c>
      <c r="B820" s="20" t="s">
        <v>110</v>
      </c>
      <c r="C820" s="2">
        <v>22</v>
      </c>
      <c r="D820" s="2" t="s">
        <v>8</v>
      </c>
      <c r="E820" s="25">
        <v>0.0055</v>
      </c>
      <c r="F820" s="45"/>
      <c r="G820" s="36" t="s">
        <v>144</v>
      </c>
      <c r="H820" s="6"/>
      <c r="I820" s="6"/>
      <c r="J820" s="6"/>
    </row>
    <row r="821" spans="1:10" s="4" customFormat="1" ht="12.75">
      <c r="A821" s="2" t="s">
        <v>2</v>
      </c>
      <c r="B821" s="23" t="s">
        <v>79</v>
      </c>
      <c r="C821" s="2">
        <v>22</v>
      </c>
      <c r="D821" s="2" t="s">
        <v>8</v>
      </c>
      <c r="E821" s="25">
        <f>(3.4)/1000</f>
        <v>0.0034</v>
      </c>
      <c r="F821" s="45"/>
      <c r="G821" s="36" t="s">
        <v>263</v>
      </c>
      <c r="H821" s="6"/>
      <c r="I821" s="6"/>
      <c r="J821" s="6"/>
    </row>
    <row r="822" spans="1:10" s="4" customFormat="1" ht="12.75">
      <c r="A822" s="2" t="s">
        <v>2</v>
      </c>
      <c r="B822" s="20" t="s">
        <v>171</v>
      </c>
      <c r="C822" s="2">
        <v>42</v>
      </c>
      <c r="D822" s="2" t="s">
        <v>8</v>
      </c>
      <c r="E822" s="25">
        <v>0.015</v>
      </c>
      <c r="F822" s="45"/>
      <c r="G822" s="36"/>
      <c r="H822" s="6"/>
      <c r="I822" s="6"/>
      <c r="J822" s="6"/>
    </row>
    <row r="824" ht="11.25">
      <c r="G824" s="11"/>
    </row>
    <row r="825" spans="5:7" ht="11.25">
      <c r="E825" s="7">
        <f>SUBTOTAL(9,E42:E824)</f>
        <v>309.2538499999997</v>
      </c>
      <c r="G825" s="11"/>
    </row>
    <row r="826" s="40" customFormat="1" ht="11.25">
      <c r="G826" s="83"/>
    </row>
    <row r="827" ht="11.25">
      <c r="G827" s="11"/>
    </row>
    <row r="828" spans="1:10" ht="11.25">
      <c r="A828" s="11"/>
      <c r="B828" s="12"/>
      <c r="C828" s="13"/>
      <c r="D828" s="13"/>
      <c r="E828" s="76"/>
      <c r="F828" s="14"/>
      <c r="G828" s="11"/>
      <c r="H828" s="13"/>
      <c r="I828" s="13"/>
      <c r="J828" s="13"/>
    </row>
    <row r="829" spans="1:10" ht="11.25">
      <c r="A829" s="11"/>
      <c r="B829" s="12"/>
      <c r="C829" s="13"/>
      <c r="D829" s="13"/>
      <c r="E829" s="13"/>
      <c r="F829" s="14"/>
      <c r="G829" s="11"/>
      <c r="H829" s="13"/>
      <c r="I829" s="13"/>
      <c r="J829" s="13"/>
    </row>
    <row r="830" spans="1:10" ht="11.25">
      <c r="A830" s="11"/>
      <c r="B830" s="12"/>
      <c r="C830" s="13"/>
      <c r="D830" s="13"/>
      <c r="E830" s="33"/>
      <c r="F830" s="14"/>
      <c r="G830" s="11"/>
      <c r="H830" s="13"/>
      <c r="I830" s="13"/>
      <c r="J830" s="13"/>
    </row>
    <row r="831" spans="1:10" ht="11.25">
      <c r="A831" s="11"/>
      <c r="B831" s="12"/>
      <c r="C831" s="13"/>
      <c r="D831" s="13"/>
      <c r="E831" s="33"/>
      <c r="F831" s="14"/>
      <c r="G831" s="11"/>
      <c r="H831" s="13"/>
      <c r="I831" s="13"/>
      <c r="J831" s="13"/>
    </row>
    <row r="832" spans="1:10" ht="11.25">
      <c r="A832" s="11"/>
      <c r="B832" s="12"/>
      <c r="C832" s="13"/>
      <c r="D832" s="13"/>
      <c r="E832" s="13"/>
      <c r="F832" s="14"/>
      <c r="G832" s="11"/>
      <c r="H832" s="13"/>
      <c r="I832" s="13"/>
      <c r="J832" s="13"/>
    </row>
    <row r="833" spans="1:10" ht="11.25">
      <c r="A833" s="11"/>
      <c r="B833" s="12"/>
      <c r="C833" s="13"/>
      <c r="D833" s="13"/>
      <c r="E833" s="13"/>
      <c r="F833" s="14"/>
      <c r="G833" s="11"/>
      <c r="H833" s="13"/>
      <c r="I833" s="13"/>
      <c r="J833" s="13"/>
    </row>
    <row r="834" spans="1:10" ht="11.25">
      <c r="A834" s="11"/>
      <c r="B834" s="12"/>
      <c r="C834" s="13"/>
      <c r="D834" s="13"/>
      <c r="E834" s="13"/>
      <c r="F834" s="14"/>
      <c r="G834" s="11"/>
      <c r="H834" s="13"/>
      <c r="I834" s="13"/>
      <c r="J834" s="13"/>
    </row>
    <row r="835" spans="1:10" ht="11.25">
      <c r="A835" s="11"/>
      <c r="B835" s="12"/>
      <c r="C835" s="13"/>
      <c r="D835" s="13"/>
      <c r="E835" s="13"/>
      <c r="F835" s="14"/>
      <c r="G835" s="11"/>
      <c r="H835" s="13"/>
      <c r="I835" s="13"/>
      <c r="J835" s="13"/>
    </row>
    <row r="836" spans="1:10" ht="11.25">
      <c r="A836" s="11"/>
      <c r="B836" s="12"/>
      <c r="C836" s="13"/>
      <c r="D836" s="13"/>
      <c r="E836" s="13"/>
      <c r="F836" s="14"/>
      <c r="G836" s="11"/>
      <c r="H836" s="13"/>
      <c r="I836" s="13"/>
      <c r="J836" s="13"/>
    </row>
    <row r="837" spans="1:10" ht="11.25">
      <c r="A837" s="11"/>
      <c r="B837" s="12"/>
      <c r="C837" s="13"/>
      <c r="D837" s="13"/>
      <c r="E837" s="13"/>
      <c r="F837" s="14"/>
      <c r="G837" s="11"/>
      <c r="H837" s="13"/>
      <c r="I837" s="13"/>
      <c r="J837" s="13"/>
    </row>
    <row r="838" spans="1:10" ht="11.25">
      <c r="A838" s="11"/>
      <c r="B838" s="12"/>
      <c r="C838" s="13"/>
      <c r="D838" s="13"/>
      <c r="E838" s="13"/>
      <c r="F838" s="14"/>
      <c r="G838" s="11">
        <f>7*31</f>
        <v>217</v>
      </c>
      <c r="H838" s="13"/>
      <c r="I838" s="13"/>
      <c r="J838" s="13"/>
    </row>
    <row r="839" spans="1:10" ht="11.25">
      <c r="A839" s="11"/>
      <c r="B839" s="12"/>
      <c r="C839" s="13"/>
      <c r="D839" s="13"/>
      <c r="E839" s="13"/>
      <c r="F839" s="14"/>
      <c r="G839" s="11"/>
      <c r="H839" s="13"/>
      <c r="I839" s="13"/>
      <c r="J839" s="13"/>
    </row>
    <row r="840" spans="1:10" ht="11.25">
      <c r="A840" s="11"/>
      <c r="B840" s="12"/>
      <c r="C840" s="13"/>
      <c r="D840" s="13"/>
      <c r="E840" s="13"/>
      <c r="F840" s="14"/>
      <c r="G840" s="11"/>
      <c r="H840" s="13"/>
      <c r="I840" s="13"/>
      <c r="J840" s="13"/>
    </row>
    <row r="841" spans="1:10" ht="11.25">
      <c r="A841" s="11"/>
      <c r="B841" s="12"/>
      <c r="C841" s="13"/>
      <c r="D841" s="13"/>
      <c r="E841" s="13"/>
      <c r="F841" s="14"/>
      <c r="G841" s="11"/>
      <c r="H841" s="13"/>
      <c r="I841" s="13"/>
      <c r="J841" s="13"/>
    </row>
    <row r="842" spans="1:10" ht="11.25">
      <c r="A842" s="11"/>
      <c r="B842" s="12"/>
      <c r="C842" s="13"/>
      <c r="D842" s="13"/>
      <c r="E842" s="13"/>
      <c r="F842" s="14"/>
      <c r="G842" s="11"/>
      <c r="H842" s="13"/>
      <c r="I842" s="13"/>
      <c r="J842" s="13"/>
    </row>
    <row r="843" spans="1:10" ht="11.25">
      <c r="A843" s="11"/>
      <c r="B843" s="12"/>
      <c r="C843" s="13"/>
      <c r="D843" s="13"/>
      <c r="E843" s="13"/>
      <c r="F843" s="14"/>
      <c r="G843" s="11"/>
      <c r="H843" s="13"/>
      <c r="I843" s="13"/>
      <c r="J843" s="13"/>
    </row>
    <row r="844" spans="1:10" ht="11.25">
      <c r="A844" s="11"/>
      <c r="B844" s="12"/>
      <c r="C844" s="13"/>
      <c r="D844" s="13"/>
      <c r="E844" s="13"/>
      <c r="F844" s="14"/>
      <c r="G844" s="11"/>
      <c r="H844" s="13"/>
      <c r="I844" s="13"/>
      <c r="J844" s="13"/>
    </row>
    <row r="845" spans="1:10" ht="11.25">
      <c r="A845" s="11"/>
      <c r="B845" s="12"/>
      <c r="C845" s="13"/>
      <c r="D845" s="13"/>
      <c r="E845" s="13"/>
      <c r="F845" s="14"/>
      <c r="G845" s="11"/>
      <c r="H845" s="13"/>
      <c r="I845" s="13"/>
      <c r="J845" s="13"/>
    </row>
    <row r="846" spans="1:10" ht="11.25">
      <c r="A846" s="11"/>
      <c r="B846" s="12"/>
      <c r="C846" s="13"/>
      <c r="D846" s="13"/>
      <c r="E846" s="13"/>
      <c r="F846" s="14"/>
      <c r="G846" s="11"/>
      <c r="H846" s="13"/>
      <c r="I846" s="13"/>
      <c r="J846" s="13"/>
    </row>
    <row r="847" spans="1:10" ht="11.25">
      <c r="A847" s="11"/>
      <c r="B847" s="12"/>
      <c r="C847" s="13"/>
      <c r="D847" s="13"/>
      <c r="E847" s="13"/>
      <c r="F847" s="14"/>
      <c r="G847" s="11"/>
      <c r="H847" s="13"/>
      <c r="I847" s="13"/>
      <c r="J847" s="13"/>
    </row>
    <row r="848" spans="1:10" ht="11.25">
      <c r="A848" s="11"/>
      <c r="B848" s="12"/>
      <c r="C848" s="13"/>
      <c r="D848" s="13"/>
      <c r="E848" s="13"/>
      <c r="F848" s="14"/>
      <c r="G848" s="11"/>
      <c r="H848" s="13"/>
      <c r="I848" s="13"/>
      <c r="J848" s="13"/>
    </row>
    <row r="849" spans="1:10" ht="11.25">
      <c r="A849" s="11"/>
      <c r="B849" s="12"/>
      <c r="C849" s="13"/>
      <c r="D849" s="13"/>
      <c r="E849" s="13"/>
      <c r="F849" s="14"/>
      <c r="G849" s="11"/>
      <c r="H849" s="13"/>
      <c r="I849" s="13"/>
      <c r="J849" s="13"/>
    </row>
    <row r="850" spans="1:10" ht="11.25">
      <c r="A850" s="11"/>
      <c r="B850" s="12"/>
      <c r="C850" s="13"/>
      <c r="D850" s="13"/>
      <c r="E850" s="13"/>
      <c r="F850" s="14"/>
      <c r="G850" s="11"/>
      <c r="H850" s="13"/>
      <c r="I850" s="13"/>
      <c r="J850" s="13"/>
    </row>
    <row r="851" spans="1:10" ht="11.25">
      <c r="A851" s="11"/>
      <c r="B851" s="12"/>
      <c r="C851" s="13"/>
      <c r="D851" s="13"/>
      <c r="E851" s="13"/>
      <c r="F851" s="14"/>
      <c r="G851" s="11"/>
      <c r="H851" s="13"/>
      <c r="I851" s="13"/>
      <c r="J851" s="13"/>
    </row>
    <row r="852" spans="1:10" ht="11.25">
      <c r="A852" s="11"/>
      <c r="B852" s="12"/>
      <c r="C852" s="13"/>
      <c r="D852" s="13"/>
      <c r="E852" s="13"/>
      <c r="F852" s="14"/>
      <c r="G852" s="11"/>
      <c r="H852" s="13"/>
      <c r="I852" s="13"/>
      <c r="J852" s="13"/>
    </row>
    <row r="853" spans="1:10" ht="11.25">
      <c r="A853" s="11"/>
      <c r="B853" s="12"/>
      <c r="C853" s="13"/>
      <c r="D853" s="13"/>
      <c r="E853" s="13"/>
      <c r="F853" s="14"/>
      <c r="G853" s="11"/>
      <c r="H853" s="13"/>
      <c r="I853" s="13"/>
      <c r="J853" s="13"/>
    </row>
    <row r="854" spans="1:10" ht="11.25">
      <c r="A854" s="11"/>
      <c r="B854" s="12"/>
      <c r="C854" s="13"/>
      <c r="D854" s="13"/>
      <c r="E854" s="13"/>
      <c r="F854" s="14"/>
      <c r="G854" s="11"/>
      <c r="H854" s="13"/>
      <c r="I854" s="13"/>
      <c r="J854" s="13"/>
    </row>
    <row r="855" spans="1:10" ht="11.25">
      <c r="A855" s="11"/>
      <c r="B855" s="12"/>
      <c r="C855" s="13"/>
      <c r="D855" s="13"/>
      <c r="E855" s="13"/>
      <c r="F855" s="14"/>
      <c r="G855" s="11"/>
      <c r="H855" s="13"/>
      <c r="I855" s="13"/>
      <c r="J855" s="13"/>
    </row>
    <row r="856" spans="1:10" ht="11.25">
      <c r="A856" s="11"/>
      <c r="B856" s="12"/>
      <c r="C856" s="13"/>
      <c r="D856" s="13"/>
      <c r="E856" s="13"/>
      <c r="F856" s="14"/>
      <c r="G856" s="11"/>
      <c r="H856" s="13"/>
      <c r="I856" s="13"/>
      <c r="J856" s="13"/>
    </row>
    <row r="857" spans="1:10" ht="11.25">
      <c r="A857" s="11"/>
      <c r="B857" s="12"/>
      <c r="C857" s="13"/>
      <c r="D857" s="13"/>
      <c r="E857" s="13"/>
      <c r="F857" s="14"/>
      <c r="G857" s="11"/>
      <c r="H857" s="13"/>
      <c r="I857" s="13"/>
      <c r="J857" s="13"/>
    </row>
    <row r="858" spans="1:10" ht="11.25">
      <c r="A858" s="11"/>
      <c r="B858" s="12"/>
      <c r="C858" s="13"/>
      <c r="D858" s="13"/>
      <c r="E858" s="13"/>
      <c r="F858" s="14"/>
      <c r="G858" s="11"/>
      <c r="H858" s="13"/>
      <c r="I858" s="13"/>
      <c r="J858" s="13"/>
    </row>
    <row r="859" spans="1:10" ht="11.25">
      <c r="A859" s="11"/>
      <c r="B859" s="12"/>
      <c r="C859" s="13"/>
      <c r="D859" s="13"/>
      <c r="E859" s="13"/>
      <c r="F859" s="14"/>
      <c r="G859" s="11"/>
      <c r="H859" s="13"/>
      <c r="I859" s="13"/>
      <c r="J859" s="13"/>
    </row>
    <row r="860" spans="1:10" ht="11.25">
      <c r="A860" s="11"/>
      <c r="B860" s="12"/>
      <c r="C860" s="13"/>
      <c r="D860" s="13"/>
      <c r="E860" s="13"/>
      <c r="F860" s="14"/>
      <c r="G860" s="11"/>
      <c r="H860" s="13"/>
      <c r="I860" s="13"/>
      <c r="J860" s="13"/>
    </row>
    <row r="861" spans="1:10" ht="11.25">
      <c r="A861" s="11"/>
      <c r="B861" s="12"/>
      <c r="C861" s="13"/>
      <c r="D861" s="13"/>
      <c r="E861" s="13"/>
      <c r="F861" s="14"/>
      <c r="G861" s="11"/>
      <c r="H861" s="13"/>
      <c r="I861" s="13"/>
      <c r="J861" s="13"/>
    </row>
    <row r="862" spans="1:10" ht="11.25">
      <c r="A862" s="11"/>
      <c r="B862" s="12"/>
      <c r="C862" s="13"/>
      <c r="D862" s="13"/>
      <c r="E862" s="13"/>
      <c r="F862" s="14"/>
      <c r="G862" s="11"/>
      <c r="H862" s="13"/>
      <c r="I862" s="13"/>
      <c r="J862" s="13"/>
    </row>
    <row r="863" spans="1:10" ht="11.25">
      <c r="A863" s="11"/>
      <c r="B863" s="12"/>
      <c r="C863" s="13"/>
      <c r="D863" s="13"/>
      <c r="E863" s="13"/>
      <c r="F863" s="14"/>
      <c r="G863" s="11"/>
      <c r="H863" s="13"/>
      <c r="I863" s="13"/>
      <c r="J863" s="13"/>
    </row>
    <row r="864" spans="1:10" ht="11.25">
      <c r="A864" s="11"/>
      <c r="B864" s="12"/>
      <c r="C864" s="13"/>
      <c r="D864" s="13"/>
      <c r="E864" s="13"/>
      <c r="F864" s="14"/>
      <c r="G864" s="11"/>
      <c r="H864" s="13"/>
      <c r="I864" s="13"/>
      <c r="J864" s="13"/>
    </row>
    <row r="865" spans="1:10" ht="11.25">
      <c r="A865" s="11"/>
      <c r="B865" s="12"/>
      <c r="C865" s="13"/>
      <c r="D865" s="13"/>
      <c r="E865" s="13"/>
      <c r="F865" s="14"/>
      <c r="G865" s="11"/>
      <c r="H865" s="13"/>
      <c r="I865" s="13"/>
      <c r="J865" s="13"/>
    </row>
    <row r="866" spans="1:10" ht="11.25">
      <c r="A866" s="11"/>
      <c r="B866" s="12"/>
      <c r="C866" s="13"/>
      <c r="D866" s="13"/>
      <c r="E866" s="13"/>
      <c r="F866" s="14"/>
      <c r="G866" s="11"/>
      <c r="H866" s="13"/>
      <c r="I866" s="13"/>
      <c r="J866" s="13"/>
    </row>
    <row r="867" spans="1:10" ht="11.25">
      <c r="A867" s="11"/>
      <c r="B867" s="12"/>
      <c r="C867" s="13"/>
      <c r="D867" s="13"/>
      <c r="E867" s="13"/>
      <c r="F867" s="14"/>
      <c r="G867" s="11"/>
      <c r="H867" s="13"/>
      <c r="I867" s="13"/>
      <c r="J867" s="13"/>
    </row>
    <row r="868" spans="1:10" ht="11.25">
      <c r="A868" s="11"/>
      <c r="B868" s="12"/>
      <c r="C868" s="13"/>
      <c r="D868" s="13"/>
      <c r="E868" s="13"/>
      <c r="F868" s="14"/>
      <c r="G868" s="11"/>
      <c r="H868" s="13"/>
      <c r="I868" s="13"/>
      <c r="J868" s="13"/>
    </row>
    <row r="869" spans="1:10" ht="11.25">
      <c r="A869" s="11"/>
      <c r="B869" s="12"/>
      <c r="C869" s="13"/>
      <c r="D869" s="13"/>
      <c r="E869" s="13"/>
      <c r="F869" s="14"/>
      <c r="G869" s="11"/>
      <c r="H869" s="13"/>
      <c r="I869" s="13"/>
      <c r="J869" s="13"/>
    </row>
    <row r="870" spans="1:10" ht="11.25">
      <c r="A870" s="11"/>
      <c r="B870" s="12"/>
      <c r="C870" s="13"/>
      <c r="D870" s="13"/>
      <c r="E870" s="13"/>
      <c r="F870" s="14"/>
      <c r="G870" s="11"/>
      <c r="H870" s="13"/>
      <c r="I870" s="13"/>
      <c r="J870" s="13"/>
    </row>
    <row r="871" spans="1:10" ht="11.25">
      <c r="A871" s="11"/>
      <c r="B871" s="12"/>
      <c r="C871" s="13"/>
      <c r="D871" s="13"/>
      <c r="E871" s="13"/>
      <c r="F871" s="14"/>
      <c r="G871" s="11"/>
      <c r="H871" s="13"/>
      <c r="I871" s="13"/>
      <c r="J871" s="13"/>
    </row>
    <row r="872" spans="1:10" ht="11.25">
      <c r="A872" s="11"/>
      <c r="B872" s="12"/>
      <c r="C872" s="13"/>
      <c r="D872" s="13"/>
      <c r="E872" s="13"/>
      <c r="F872" s="14"/>
      <c r="G872" s="11"/>
      <c r="H872" s="13"/>
      <c r="I872" s="13"/>
      <c r="J872" s="13"/>
    </row>
    <row r="873" spans="1:10" ht="11.25">
      <c r="A873" s="11"/>
      <c r="B873" s="12"/>
      <c r="C873" s="13"/>
      <c r="D873" s="13"/>
      <c r="E873" s="13"/>
      <c r="F873" s="14"/>
      <c r="G873" s="11"/>
      <c r="H873" s="13"/>
      <c r="I873" s="13"/>
      <c r="J873" s="13"/>
    </row>
    <row r="874" spans="1:10" ht="11.25">
      <c r="A874" s="11"/>
      <c r="B874" s="12"/>
      <c r="C874" s="13"/>
      <c r="D874" s="13"/>
      <c r="E874" s="13"/>
      <c r="F874" s="14"/>
      <c r="G874" s="11"/>
      <c r="H874" s="13"/>
      <c r="I874" s="13"/>
      <c r="J874" s="13"/>
    </row>
    <row r="875" spans="1:10" ht="11.25">
      <c r="A875" s="11"/>
      <c r="B875" s="12"/>
      <c r="C875" s="13"/>
      <c r="D875" s="13"/>
      <c r="E875" s="13"/>
      <c r="F875" s="14"/>
      <c r="G875" s="11"/>
      <c r="H875" s="13"/>
      <c r="I875" s="13"/>
      <c r="J875" s="13"/>
    </row>
    <row r="876" spans="1:10" ht="11.25">
      <c r="A876" s="11"/>
      <c r="B876" s="12"/>
      <c r="C876" s="13"/>
      <c r="D876" s="13"/>
      <c r="E876" s="13"/>
      <c r="F876" s="14"/>
      <c r="G876" s="11"/>
      <c r="H876" s="13"/>
      <c r="I876" s="13"/>
      <c r="J876" s="13"/>
    </row>
    <row r="877" spans="1:10" ht="11.25">
      <c r="A877" s="11"/>
      <c r="B877" s="12"/>
      <c r="C877" s="13"/>
      <c r="D877" s="13"/>
      <c r="E877" s="13"/>
      <c r="F877" s="14"/>
      <c r="G877" s="11"/>
      <c r="H877" s="13"/>
      <c r="I877" s="13"/>
      <c r="J877" s="13"/>
    </row>
    <row r="878" spans="1:10" ht="11.25">
      <c r="A878" s="11"/>
      <c r="B878" s="12"/>
      <c r="C878" s="13"/>
      <c r="D878" s="13"/>
      <c r="E878" s="13"/>
      <c r="F878" s="14"/>
      <c r="G878" s="11"/>
      <c r="H878" s="13"/>
      <c r="I878" s="13"/>
      <c r="J878" s="13"/>
    </row>
    <row r="879" spans="1:10" ht="11.25">
      <c r="A879" s="11"/>
      <c r="B879" s="12"/>
      <c r="C879" s="13"/>
      <c r="D879" s="13"/>
      <c r="E879" s="13"/>
      <c r="F879" s="14"/>
      <c r="G879" s="11"/>
      <c r="H879" s="13"/>
      <c r="I879" s="13"/>
      <c r="J879" s="13"/>
    </row>
    <row r="880" spans="1:10" ht="11.25">
      <c r="A880" s="11"/>
      <c r="B880" s="12"/>
      <c r="C880" s="13"/>
      <c r="D880" s="13"/>
      <c r="E880" s="13"/>
      <c r="F880" s="14"/>
      <c r="G880" s="11"/>
      <c r="H880" s="13"/>
      <c r="I880" s="13"/>
      <c r="J880" s="13"/>
    </row>
    <row r="881" spans="1:10" ht="11.25">
      <c r="A881" s="11"/>
      <c r="B881" s="12"/>
      <c r="C881" s="13"/>
      <c r="D881" s="13"/>
      <c r="E881" s="13"/>
      <c r="F881" s="14"/>
      <c r="G881" s="11"/>
      <c r="H881" s="13"/>
      <c r="I881" s="13"/>
      <c r="J881" s="13"/>
    </row>
    <row r="882" spans="1:10" ht="11.25">
      <c r="A882" s="11"/>
      <c r="B882" s="12"/>
      <c r="C882" s="13"/>
      <c r="D882" s="13"/>
      <c r="E882" s="13"/>
      <c r="F882" s="14"/>
      <c r="G882" s="11"/>
      <c r="H882" s="13"/>
      <c r="I882" s="13"/>
      <c r="J882" s="13"/>
    </row>
    <row r="883" spans="1:10" ht="11.25">
      <c r="A883" s="11"/>
      <c r="B883" s="12"/>
      <c r="C883" s="13"/>
      <c r="D883" s="13"/>
      <c r="E883" s="13"/>
      <c r="F883" s="14"/>
      <c r="G883" s="11"/>
      <c r="H883" s="13"/>
      <c r="I883" s="13"/>
      <c r="J883" s="13"/>
    </row>
    <row r="884" spans="1:10" ht="11.25">
      <c r="A884" s="11"/>
      <c r="B884" s="12"/>
      <c r="C884" s="13"/>
      <c r="D884" s="13"/>
      <c r="E884" s="13"/>
      <c r="F884" s="14"/>
      <c r="G884" s="11"/>
      <c r="H884" s="13"/>
      <c r="I884" s="13"/>
      <c r="J884" s="13"/>
    </row>
    <row r="885" spans="1:10" ht="11.25">
      <c r="A885" s="11"/>
      <c r="B885" s="12"/>
      <c r="C885" s="13"/>
      <c r="D885" s="13"/>
      <c r="E885" s="13"/>
      <c r="F885" s="14"/>
      <c r="G885" s="11"/>
      <c r="H885" s="13"/>
      <c r="I885" s="13"/>
      <c r="J885" s="13"/>
    </row>
    <row r="886" spans="1:10" ht="11.25">
      <c r="A886" s="11"/>
      <c r="B886" s="12"/>
      <c r="C886" s="13"/>
      <c r="D886" s="13"/>
      <c r="E886" s="13"/>
      <c r="F886" s="14"/>
      <c r="G886" s="11"/>
      <c r="H886" s="13"/>
      <c r="I886" s="13"/>
      <c r="J886" s="13"/>
    </row>
    <row r="887" spans="1:10" ht="11.25">
      <c r="A887" s="11"/>
      <c r="B887" s="12"/>
      <c r="C887" s="13"/>
      <c r="D887" s="13"/>
      <c r="E887" s="13"/>
      <c r="F887" s="34"/>
      <c r="G887" s="11"/>
      <c r="H887" s="13"/>
      <c r="I887" s="13"/>
      <c r="J887" s="13"/>
    </row>
    <row r="888" spans="1:10" ht="11.25">
      <c r="A888" s="11"/>
      <c r="B888" s="12"/>
      <c r="C888" s="13"/>
      <c r="D888" s="13"/>
      <c r="E888" s="13"/>
      <c r="F888" s="34"/>
      <c r="G888" s="11"/>
      <c r="H888" s="13"/>
      <c r="I888" s="13"/>
      <c r="J888" s="13"/>
    </row>
    <row r="889" spans="1:10" ht="11.25">
      <c r="A889" s="11"/>
      <c r="B889" s="12"/>
      <c r="C889" s="13"/>
      <c r="D889" s="13"/>
      <c r="E889" s="13"/>
      <c r="F889" s="34"/>
      <c r="G889" s="11"/>
      <c r="H889" s="13"/>
      <c r="I889" s="13"/>
      <c r="J889" s="13"/>
    </row>
    <row r="890" spans="1:10" ht="11.25">
      <c r="A890" s="11"/>
      <c r="B890" s="12"/>
      <c r="C890" s="13"/>
      <c r="D890" s="13"/>
      <c r="E890" s="13"/>
      <c r="F890" s="14"/>
      <c r="G890" s="11"/>
      <c r="H890" s="13"/>
      <c r="I890" s="13"/>
      <c r="J890" s="13"/>
    </row>
    <row r="891" spans="1:10" ht="11.25">
      <c r="A891" s="11"/>
      <c r="B891" s="12"/>
      <c r="C891" s="13"/>
      <c r="D891" s="13"/>
      <c r="E891" s="13"/>
      <c r="F891" s="14"/>
      <c r="G891" s="11"/>
      <c r="H891" s="13"/>
      <c r="I891" s="13"/>
      <c r="J891" s="13"/>
    </row>
    <row r="892" spans="1:10" ht="11.25">
      <c r="A892" s="11"/>
      <c r="B892" s="12"/>
      <c r="C892" s="13"/>
      <c r="D892" s="13"/>
      <c r="E892" s="13"/>
      <c r="F892" s="14"/>
      <c r="G892" s="11"/>
      <c r="H892" s="13"/>
      <c r="I892" s="13"/>
      <c r="J892" s="13"/>
    </row>
    <row r="893" spans="1:10" ht="11.25">
      <c r="A893" s="11"/>
      <c r="B893" s="12"/>
      <c r="C893" s="13"/>
      <c r="D893" s="13"/>
      <c r="E893" s="13"/>
      <c r="F893" s="14"/>
      <c r="G893" s="11"/>
      <c r="H893" s="13"/>
      <c r="I893" s="13"/>
      <c r="J893" s="13"/>
    </row>
    <row r="894" spans="1:10" ht="11.25">
      <c r="A894" s="11"/>
      <c r="B894" s="12"/>
      <c r="C894" s="13"/>
      <c r="D894" s="13"/>
      <c r="E894" s="13"/>
      <c r="F894" s="14"/>
      <c r="G894" s="11"/>
      <c r="H894" s="13"/>
      <c r="I894" s="13"/>
      <c r="J894" s="13"/>
    </row>
    <row r="895" spans="1:10" ht="11.25">
      <c r="A895" s="11"/>
      <c r="B895" s="12"/>
      <c r="C895" s="13"/>
      <c r="D895" s="13"/>
      <c r="E895" s="13"/>
      <c r="F895" s="14"/>
      <c r="G895" s="11"/>
      <c r="H895" s="13"/>
      <c r="I895" s="13"/>
      <c r="J895" s="13"/>
    </row>
    <row r="896" spans="1:10" ht="11.25">
      <c r="A896" s="11"/>
      <c r="B896" s="12"/>
      <c r="C896" s="13"/>
      <c r="D896" s="13"/>
      <c r="E896" s="13"/>
      <c r="F896" s="14"/>
      <c r="G896" s="11"/>
      <c r="H896" s="13"/>
      <c r="I896" s="13"/>
      <c r="J896" s="13"/>
    </row>
    <row r="897" spans="1:10" ht="11.25">
      <c r="A897" s="11"/>
      <c r="B897" s="12"/>
      <c r="C897" s="13"/>
      <c r="D897" s="13"/>
      <c r="E897" s="13"/>
      <c r="F897" s="14"/>
      <c r="G897" s="11"/>
      <c r="H897" s="13"/>
      <c r="I897" s="13"/>
      <c r="J897" s="13"/>
    </row>
    <row r="898" spans="1:10" ht="11.25">
      <c r="A898" s="11"/>
      <c r="B898" s="12"/>
      <c r="C898" s="13"/>
      <c r="D898" s="13"/>
      <c r="E898" s="13"/>
      <c r="F898" s="14"/>
      <c r="G898" s="11"/>
      <c r="H898" s="13"/>
      <c r="I898" s="13"/>
      <c r="J898" s="13"/>
    </row>
    <row r="899" spans="1:10" ht="11.25">
      <c r="A899" s="11"/>
      <c r="B899" s="12"/>
      <c r="C899" s="13"/>
      <c r="D899" s="13"/>
      <c r="E899" s="13"/>
      <c r="F899" s="14"/>
      <c r="G899" s="11"/>
      <c r="H899" s="13"/>
      <c r="I899" s="13"/>
      <c r="J899" s="13"/>
    </row>
    <row r="900" spans="1:10" ht="11.25">
      <c r="A900" s="11"/>
      <c r="B900" s="12"/>
      <c r="C900" s="13"/>
      <c r="D900" s="13"/>
      <c r="E900" s="13"/>
      <c r="F900" s="14"/>
      <c r="G900" s="11"/>
      <c r="H900" s="13"/>
      <c r="I900" s="13"/>
      <c r="J900" s="13"/>
    </row>
    <row r="901" spans="1:10" ht="11.25">
      <c r="A901" s="11"/>
      <c r="B901" s="12"/>
      <c r="C901" s="13"/>
      <c r="D901" s="13"/>
      <c r="E901" s="13"/>
      <c r="F901" s="14"/>
      <c r="G901" s="11"/>
      <c r="H901" s="13"/>
      <c r="I901" s="13"/>
      <c r="J901" s="13"/>
    </row>
    <row r="902" spans="1:10" ht="11.25">
      <c r="A902" s="11"/>
      <c r="B902" s="12"/>
      <c r="C902" s="13"/>
      <c r="D902" s="13"/>
      <c r="E902" s="13"/>
      <c r="F902" s="14"/>
      <c r="G902" s="11"/>
      <c r="H902" s="13"/>
      <c r="I902" s="13"/>
      <c r="J902" s="13"/>
    </row>
    <row r="903" spans="1:10" ht="11.25">
      <c r="A903" s="11"/>
      <c r="B903" s="12"/>
      <c r="C903" s="13"/>
      <c r="D903" s="13"/>
      <c r="E903" s="13"/>
      <c r="F903" s="14"/>
      <c r="G903" s="11"/>
      <c r="H903" s="13"/>
      <c r="I903" s="13"/>
      <c r="J903" s="13"/>
    </row>
    <row r="904" spans="1:10" ht="11.25">
      <c r="A904" s="11"/>
      <c r="B904" s="12"/>
      <c r="C904" s="13"/>
      <c r="D904" s="13"/>
      <c r="E904" s="13"/>
      <c r="F904" s="14"/>
      <c r="G904" s="11"/>
      <c r="H904" s="13"/>
      <c r="I904" s="13"/>
      <c r="J904" s="13"/>
    </row>
    <row r="905" spans="1:10" ht="11.25">
      <c r="A905" s="11"/>
      <c r="B905" s="12"/>
      <c r="C905" s="13"/>
      <c r="D905" s="13"/>
      <c r="E905" s="13"/>
      <c r="F905" s="14"/>
      <c r="G905" s="11"/>
      <c r="H905" s="13"/>
      <c r="I905" s="13"/>
      <c r="J905" s="13"/>
    </row>
    <row r="906" spans="1:10" ht="11.25">
      <c r="A906" s="11"/>
      <c r="B906" s="12"/>
      <c r="C906" s="13"/>
      <c r="D906" s="13"/>
      <c r="E906" s="13"/>
      <c r="F906" s="14"/>
      <c r="G906" s="11"/>
      <c r="H906" s="13"/>
      <c r="I906" s="13"/>
      <c r="J906" s="13"/>
    </row>
    <row r="907" spans="1:10" ht="11.25">
      <c r="A907" s="11"/>
      <c r="B907" s="12"/>
      <c r="C907" s="13"/>
      <c r="D907" s="13"/>
      <c r="E907" s="13"/>
      <c r="F907" s="14"/>
      <c r="G907" s="11"/>
      <c r="H907" s="13"/>
      <c r="I907" s="13"/>
      <c r="J907" s="13"/>
    </row>
    <row r="908" spans="1:10" ht="11.25">
      <c r="A908" s="11"/>
      <c r="B908" s="12"/>
      <c r="C908" s="13"/>
      <c r="D908" s="13"/>
      <c r="E908" s="13"/>
      <c r="F908" s="14"/>
      <c r="G908" s="11"/>
      <c r="H908" s="13"/>
      <c r="I908" s="13"/>
      <c r="J908" s="13"/>
    </row>
    <row r="909" spans="1:10" ht="11.25">
      <c r="A909" s="11"/>
      <c r="B909" s="12"/>
      <c r="C909" s="13"/>
      <c r="D909" s="13"/>
      <c r="E909" s="13"/>
      <c r="F909" s="14"/>
      <c r="G909" s="11"/>
      <c r="H909" s="13"/>
      <c r="I909" s="13"/>
      <c r="J909" s="13"/>
    </row>
    <row r="910" spans="1:10" ht="11.25">
      <c r="A910" s="11"/>
      <c r="B910" s="12"/>
      <c r="C910" s="13"/>
      <c r="D910" s="13"/>
      <c r="E910" s="13"/>
      <c r="F910" s="14"/>
      <c r="G910" s="11"/>
      <c r="H910" s="13"/>
      <c r="I910" s="13"/>
      <c r="J910" s="13"/>
    </row>
    <row r="911" spans="1:10" ht="11.25">
      <c r="A911" s="11"/>
      <c r="B911" s="12"/>
      <c r="C911" s="13"/>
      <c r="D911" s="13"/>
      <c r="E911" s="13"/>
      <c r="F911" s="14"/>
      <c r="G911" s="11"/>
      <c r="H911" s="13"/>
      <c r="I911" s="13"/>
      <c r="J911" s="13"/>
    </row>
    <row r="912" spans="1:10" ht="11.25">
      <c r="A912" s="11"/>
      <c r="B912" s="12"/>
      <c r="C912" s="13"/>
      <c r="D912" s="13"/>
      <c r="E912" s="13"/>
      <c r="F912" s="14"/>
      <c r="G912" s="11"/>
      <c r="H912" s="13"/>
      <c r="I912" s="13"/>
      <c r="J912" s="13"/>
    </row>
    <row r="913" spans="1:10" ht="11.25">
      <c r="A913" s="11"/>
      <c r="B913" s="12"/>
      <c r="C913" s="13"/>
      <c r="D913" s="13"/>
      <c r="E913" s="13"/>
      <c r="F913" s="14"/>
      <c r="G913" s="11"/>
      <c r="H913" s="13"/>
      <c r="I913" s="13"/>
      <c r="J913" s="13"/>
    </row>
    <row r="914" spans="1:10" ht="11.25">
      <c r="A914" s="11"/>
      <c r="B914" s="12"/>
      <c r="C914" s="13"/>
      <c r="D914" s="13"/>
      <c r="E914" s="13"/>
      <c r="F914" s="14"/>
      <c r="G914" s="11"/>
      <c r="H914" s="13"/>
      <c r="I914" s="13"/>
      <c r="J914" s="13"/>
    </row>
    <row r="915" spans="1:10" ht="11.25">
      <c r="A915" s="11"/>
      <c r="B915" s="12"/>
      <c r="C915" s="13"/>
      <c r="D915" s="13"/>
      <c r="E915" s="13"/>
      <c r="F915" s="14"/>
      <c r="G915" s="11"/>
      <c r="H915" s="13"/>
      <c r="I915" s="13"/>
      <c r="J915" s="13"/>
    </row>
    <row r="916" spans="1:10" ht="11.25">
      <c r="A916" s="11"/>
      <c r="B916" s="12"/>
      <c r="C916" s="13"/>
      <c r="D916" s="13"/>
      <c r="E916" s="13"/>
      <c r="F916" s="14"/>
      <c r="G916" s="11"/>
      <c r="H916" s="13"/>
      <c r="I916" s="13"/>
      <c r="J916" s="13"/>
    </row>
    <row r="917" spans="1:10" ht="11.25">
      <c r="A917" s="11"/>
      <c r="B917" s="12"/>
      <c r="C917" s="13"/>
      <c r="D917" s="13"/>
      <c r="E917" s="13"/>
      <c r="F917" s="14"/>
      <c r="G917" s="11"/>
      <c r="H917" s="13"/>
      <c r="I917" s="13"/>
      <c r="J917" s="13"/>
    </row>
    <row r="918" spans="1:10" ht="11.25">
      <c r="A918" s="11"/>
      <c r="B918" s="12"/>
      <c r="C918" s="13"/>
      <c r="D918" s="13"/>
      <c r="E918" s="13"/>
      <c r="F918" s="14"/>
      <c r="G918" s="11"/>
      <c r="H918" s="13"/>
      <c r="I918" s="13"/>
      <c r="J918" s="13"/>
    </row>
    <row r="919" spans="1:10" ht="11.25">
      <c r="A919" s="11"/>
      <c r="B919" s="12"/>
      <c r="C919" s="13"/>
      <c r="D919" s="13"/>
      <c r="E919" s="13"/>
      <c r="F919" s="14"/>
      <c r="G919" s="11"/>
      <c r="H919" s="13"/>
      <c r="I919" s="13"/>
      <c r="J919" s="13"/>
    </row>
    <row r="920" spans="1:10" ht="11.25">
      <c r="A920" s="11"/>
      <c r="B920" s="12"/>
      <c r="C920" s="13"/>
      <c r="D920" s="13"/>
      <c r="E920" s="13"/>
      <c r="F920" s="14"/>
      <c r="G920" s="11"/>
      <c r="H920" s="13"/>
      <c r="I920" s="13"/>
      <c r="J920" s="13"/>
    </row>
    <row r="921" spans="1:10" ht="11.25">
      <c r="A921" s="11"/>
      <c r="B921" s="12"/>
      <c r="C921" s="13"/>
      <c r="D921" s="13"/>
      <c r="E921" s="13"/>
      <c r="F921" s="14"/>
      <c r="G921" s="11"/>
      <c r="H921" s="13"/>
      <c r="I921" s="13"/>
      <c r="J921" s="13"/>
    </row>
    <row r="922" spans="1:10" ht="11.25">
      <c r="A922" s="11"/>
      <c r="B922" s="12"/>
      <c r="C922" s="13"/>
      <c r="D922" s="13"/>
      <c r="E922" s="13"/>
      <c r="F922" s="14"/>
      <c r="G922" s="11"/>
      <c r="H922" s="13"/>
      <c r="I922" s="13"/>
      <c r="J922" s="13"/>
    </row>
    <row r="923" spans="1:10" ht="11.25">
      <c r="A923" s="11"/>
      <c r="B923" s="12"/>
      <c r="C923" s="13"/>
      <c r="D923" s="13"/>
      <c r="E923" s="13"/>
      <c r="F923" s="14"/>
      <c r="G923" s="11"/>
      <c r="H923" s="13"/>
      <c r="I923" s="13"/>
      <c r="J923" s="13"/>
    </row>
    <row r="924" spans="1:10" ht="11.25">
      <c r="A924" s="11"/>
      <c r="B924" s="12"/>
      <c r="C924" s="13"/>
      <c r="D924" s="13"/>
      <c r="E924" s="13"/>
      <c r="F924" s="14"/>
      <c r="G924" s="11"/>
      <c r="H924" s="13"/>
      <c r="I924" s="13"/>
      <c r="J924" s="13"/>
    </row>
    <row r="925" spans="1:10" ht="11.25">
      <c r="A925" s="11"/>
      <c r="B925" s="12"/>
      <c r="C925" s="13"/>
      <c r="D925" s="13"/>
      <c r="E925" s="13"/>
      <c r="F925" s="33"/>
      <c r="G925" s="11"/>
      <c r="H925" s="13"/>
      <c r="I925" s="13"/>
      <c r="J925" s="13"/>
    </row>
    <row r="926" spans="1:10" ht="11.25">
      <c r="A926" s="11"/>
      <c r="B926" s="12"/>
      <c r="C926" s="13"/>
      <c r="D926" s="13"/>
      <c r="E926" s="13"/>
      <c r="F926" s="14"/>
      <c r="G926" s="11"/>
      <c r="H926" s="13"/>
      <c r="I926" s="13"/>
      <c r="J926" s="13"/>
    </row>
    <row r="927" spans="1:10" ht="11.25">
      <c r="A927" s="11"/>
      <c r="B927" s="12"/>
      <c r="C927" s="13"/>
      <c r="D927" s="13"/>
      <c r="E927" s="13"/>
      <c r="F927" s="14"/>
      <c r="G927" s="11"/>
      <c r="H927" s="13"/>
      <c r="I927" s="13"/>
      <c r="J927" s="13"/>
    </row>
    <row r="928" spans="1:10" ht="11.25">
      <c r="A928" s="11"/>
      <c r="B928" s="12"/>
      <c r="C928" s="13"/>
      <c r="D928" s="13"/>
      <c r="E928" s="13"/>
      <c r="F928" s="14"/>
      <c r="G928" s="11"/>
      <c r="H928" s="13"/>
      <c r="I928" s="13"/>
      <c r="J928" s="13"/>
    </row>
    <row r="929" spans="1:10" ht="11.25">
      <c r="A929" s="11"/>
      <c r="B929" s="12"/>
      <c r="C929" s="13"/>
      <c r="D929" s="13"/>
      <c r="E929" s="13"/>
      <c r="F929" s="14"/>
      <c r="G929" s="11"/>
      <c r="H929" s="13"/>
      <c r="I929" s="13"/>
      <c r="J929" s="13"/>
    </row>
    <row r="930" spans="1:10" ht="11.25">
      <c r="A930" s="11"/>
      <c r="B930" s="12"/>
      <c r="C930" s="13"/>
      <c r="D930" s="13"/>
      <c r="E930" s="13"/>
      <c r="F930" s="14"/>
      <c r="G930" s="11"/>
      <c r="H930" s="13"/>
      <c r="I930" s="13"/>
      <c r="J930" s="13"/>
    </row>
    <row r="931" spans="1:10" ht="11.25">
      <c r="A931" s="11"/>
      <c r="B931" s="12"/>
      <c r="C931" s="13"/>
      <c r="D931" s="13"/>
      <c r="E931" s="13"/>
      <c r="F931" s="14"/>
      <c r="G931" s="11"/>
      <c r="H931" s="13"/>
      <c r="I931" s="13"/>
      <c r="J931" s="13"/>
    </row>
    <row r="932" spans="1:10" ht="11.25">
      <c r="A932" s="11"/>
      <c r="B932" s="12"/>
      <c r="C932" s="13"/>
      <c r="D932" s="13"/>
      <c r="E932" s="13"/>
      <c r="F932" s="14"/>
      <c r="G932" s="11"/>
      <c r="H932" s="13"/>
      <c r="I932" s="13"/>
      <c r="J932" s="13"/>
    </row>
    <row r="933" spans="1:10" ht="11.25">
      <c r="A933" s="11"/>
      <c r="B933" s="12"/>
      <c r="C933" s="13"/>
      <c r="D933" s="13"/>
      <c r="E933" s="13"/>
      <c r="F933" s="14"/>
      <c r="G933" s="11"/>
      <c r="H933" s="13"/>
      <c r="I933" s="13"/>
      <c r="J933" s="13"/>
    </row>
    <row r="934" spans="1:10" ht="11.25">
      <c r="A934" s="11"/>
      <c r="B934" s="12"/>
      <c r="C934" s="13"/>
      <c r="D934" s="13"/>
      <c r="E934" s="13"/>
      <c r="F934" s="14"/>
      <c r="G934" s="11"/>
      <c r="H934" s="13"/>
      <c r="I934" s="13"/>
      <c r="J934" s="13"/>
    </row>
    <row r="935" spans="1:10" ht="11.25">
      <c r="A935" s="11"/>
      <c r="B935" s="12"/>
      <c r="C935" s="13"/>
      <c r="D935" s="13"/>
      <c r="E935" s="13"/>
      <c r="F935" s="14"/>
      <c r="G935" s="11"/>
      <c r="H935" s="13"/>
      <c r="I935" s="13"/>
      <c r="J935" s="13"/>
    </row>
    <row r="936" spans="1:10" ht="11.25">
      <c r="A936" s="11"/>
      <c r="B936" s="12"/>
      <c r="C936" s="13"/>
      <c r="D936" s="13"/>
      <c r="E936" s="13"/>
      <c r="F936" s="14"/>
      <c r="G936" s="11"/>
      <c r="H936" s="13"/>
      <c r="I936" s="13"/>
      <c r="J936" s="13"/>
    </row>
    <row r="937" spans="1:10" ht="11.25">
      <c r="A937" s="11"/>
      <c r="B937" s="12"/>
      <c r="C937" s="13"/>
      <c r="D937" s="13"/>
      <c r="E937" s="13"/>
      <c r="F937" s="14"/>
      <c r="G937" s="11"/>
      <c r="H937" s="13"/>
      <c r="I937" s="13"/>
      <c r="J937" s="13"/>
    </row>
    <row r="938" spans="1:10" ht="11.25">
      <c r="A938" s="11"/>
      <c r="B938" s="12"/>
      <c r="C938" s="13"/>
      <c r="D938" s="13"/>
      <c r="E938" s="13"/>
      <c r="F938" s="14"/>
      <c r="G938" s="11"/>
      <c r="H938" s="13"/>
      <c r="I938" s="13"/>
      <c r="J938" s="13"/>
    </row>
    <row r="939" spans="1:10" ht="11.25">
      <c r="A939" s="11"/>
      <c r="B939" s="12"/>
      <c r="C939" s="13"/>
      <c r="D939" s="13"/>
      <c r="E939" s="13"/>
      <c r="F939" s="14"/>
      <c r="G939" s="11"/>
      <c r="H939" s="13"/>
      <c r="I939" s="13"/>
      <c r="J939" s="13"/>
    </row>
    <row r="940" spans="1:10" ht="11.25">
      <c r="A940" s="11"/>
      <c r="B940" s="12"/>
      <c r="C940" s="13"/>
      <c r="D940" s="13"/>
      <c r="E940" s="13"/>
      <c r="F940" s="14"/>
      <c r="G940" s="11"/>
      <c r="H940" s="13"/>
      <c r="I940" s="13"/>
      <c r="J940" s="13"/>
    </row>
    <row r="941" spans="1:10" ht="11.25">
      <c r="A941" s="11"/>
      <c r="B941" s="12"/>
      <c r="C941" s="13"/>
      <c r="D941" s="13"/>
      <c r="E941" s="13"/>
      <c r="F941" s="14"/>
      <c r="G941" s="11"/>
      <c r="H941" s="13"/>
      <c r="I941" s="13"/>
      <c r="J941" s="13"/>
    </row>
    <row r="942" spans="1:10" ht="11.25">
      <c r="A942" s="11"/>
      <c r="B942" s="12"/>
      <c r="C942" s="13"/>
      <c r="D942" s="13"/>
      <c r="E942" s="13"/>
      <c r="F942" s="14"/>
      <c r="G942" s="11"/>
      <c r="H942" s="13"/>
      <c r="I942" s="13"/>
      <c r="J942" s="13"/>
    </row>
    <row r="943" spans="1:10" ht="11.25">
      <c r="A943" s="11"/>
      <c r="B943" s="12"/>
      <c r="C943" s="13"/>
      <c r="D943" s="13"/>
      <c r="E943" s="13"/>
      <c r="F943" s="14"/>
      <c r="G943" s="11"/>
      <c r="H943" s="13"/>
      <c r="I943" s="13"/>
      <c r="J943" s="13"/>
    </row>
    <row r="944" spans="1:10" ht="11.25">
      <c r="A944" s="11"/>
      <c r="B944" s="12"/>
      <c r="C944" s="13"/>
      <c r="D944" s="13"/>
      <c r="E944" s="13"/>
      <c r="F944" s="14"/>
      <c r="G944" s="11"/>
      <c r="H944" s="13"/>
      <c r="I944" s="13"/>
      <c r="J944" s="13"/>
    </row>
    <row r="945" spans="1:10" ht="11.25">
      <c r="A945" s="11"/>
      <c r="B945" s="12"/>
      <c r="C945" s="13"/>
      <c r="D945" s="13"/>
      <c r="E945" s="13"/>
      <c r="F945" s="14"/>
      <c r="G945" s="11"/>
      <c r="H945" s="13"/>
      <c r="I945" s="13"/>
      <c r="J945" s="13"/>
    </row>
    <row r="946" spans="1:10" ht="11.25">
      <c r="A946" s="11"/>
      <c r="B946" s="12"/>
      <c r="C946" s="13"/>
      <c r="D946" s="13"/>
      <c r="E946" s="13"/>
      <c r="F946" s="14"/>
      <c r="G946" s="11"/>
      <c r="H946" s="13"/>
      <c r="I946" s="13"/>
      <c r="J946" s="13"/>
    </row>
    <row r="947" spans="1:10" ht="11.25">
      <c r="A947" s="11"/>
      <c r="B947" s="12"/>
      <c r="C947" s="13"/>
      <c r="D947" s="13"/>
      <c r="E947" s="13"/>
      <c r="F947" s="14"/>
      <c r="G947" s="11"/>
      <c r="H947" s="13"/>
      <c r="I947" s="13"/>
      <c r="J947" s="13"/>
    </row>
    <row r="948" spans="1:10" ht="11.25">
      <c r="A948" s="11"/>
      <c r="B948" s="12"/>
      <c r="C948" s="13"/>
      <c r="D948" s="13"/>
      <c r="E948" s="13"/>
      <c r="F948" s="14"/>
      <c r="G948" s="11"/>
      <c r="H948" s="13"/>
      <c r="I948" s="13"/>
      <c r="J948" s="13"/>
    </row>
    <row r="949" spans="1:10" ht="11.25">
      <c r="A949" s="11"/>
      <c r="B949" s="12"/>
      <c r="C949" s="13"/>
      <c r="D949" s="13"/>
      <c r="E949" s="13"/>
      <c r="F949" s="14"/>
      <c r="G949" s="11"/>
      <c r="H949" s="13"/>
      <c r="I949" s="13"/>
      <c r="J949" s="13"/>
    </row>
    <row r="950" spans="1:10" ht="11.25">
      <c r="A950" s="11"/>
      <c r="B950" s="12"/>
      <c r="C950" s="13"/>
      <c r="D950" s="13"/>
      <c r="E950" s="13"/>
      <c r="F950" s="14"/>
      <c r="G950" s="11"/>
      <c r="H950" s="13"/>
      <c r="I950" s="13"/>
      <c r="J950" s="13"/>
    </row>
    <row r="951" spans="1:10" ht="11.25">
      <c r="A951" s="11"/>
      <c r="B951" s="12"/>
      <c r="C951" s="13"/>
      <c r="D951" s="13"/>
      <c r="E951" s="13"/>
      <c r="F951" s="14"/>
      <c r="G951" s="11"/>
      <c r="H951" s="13"/>
      <c r="I951" s="13"/>
      <c r="J951" s="13"/>
    </row>
    <row r="952" spans="1:10" ht="11.25">
      <c r="A952" s="11"/>
      <c r="B952" s="12"/>
      <c r="C952" s="13"/>
      <c r="D952" s="13"/>
      <c r="E952" s="13"/>
      <c r="F952" s="14"/>
      <c r="G952" s="11"/>
      <c r="H952" s="13"/>
      <c r="I952" s="13"/>
      <c r="J952" s="13"/>
    </row>
    <row r="953" spans="1:10" ht="11.25">
      <c r="A953" s="11"/>
      <c r="B953" s="12"/>
      <c r="C953" s="13"/>
      <c r="D953" s="13"/>
      <c r="E953" s="13"/>
      <c r="F953" s="14"/>
      <c r="G953" s="11"/>
      <c r="H953" s="13"/>
      <c r="I953" s="13"/>
      <c r="J953" s="13"/>
    </row>
    <row r="954" spans="1:10" ht="11.25">
      <c r="A954" s="11"/>
      <c r="B954" s="12"/>
      <c r="C954" s="13"/>
      <c r="D954" s="13"/>
      <c r="E954" s="13"/>
      <c r="F954" s="14"/>
      <c r="G954" s="11"/>
      <c r="H954" s="13"/>
      <c r="I954" s="13"/>
      <c r="J954" s="13"/>
    </row>
    <row r="955" spans="1:10" ht="11.25">
      <c r="A955" s="11"/>
      <c r="B955" s="12"/>
      <c r="C955" s="13"/>
      <c r="D955" s="13"/>
      <c r="E955" s="13"/>
      <c r="F955" s="14"/>
      <c r="G955" s="11"/>
      <c r="H955" s="13"/>
      <c r="I955" s="13"/>
      <c r="J955" s="13"/>
    </row>
    <row r="956" spans="1:10" ht="11.25">
      <c r="A956" s="11"/>
      <c r="B956" s="12"/>
      <c r="C956" s="13"/>
      <c r="D956" s="13"/>
      <c r="E956" s="13"/>
      <c r="F956" s="14"/>
      <c r="G956" s="11"/>
      <c r="H956" s="13"/>
      <c r="I956" s="13"/>
      <c r="J956" s="13"/>
    </row>
    <row r="957" spans="1:10" ht="11.25">
      <c r="A957" s="11"/>
      <c r="B957" s="12"/>
      <c r="C957" s="13"/>
      <c r="D957" s="13"/>
      <c r="E957" s="13"/>
      <c r="F957" s="14"/>
      <c r="G957" s="11"/>
      <c r="H957" s="13"/>
      <c r="I957" s="13"/>
      <c r="J957" s="13"/>
    </row>
    <row r="958" spans="1:10" ht="11.25">
      <c r="A958" s="11"/>
      <c r="B958" s="12"/>
      <c r="C958" s="13"/>
      <c r="D958" s="13"/>
      <c r="E958" s="13"/>
      <c r="F958" s="14"/>
      <c r="G958" s="11"/>
      <c r="H958" s="13"/>
      <c r="I958" s="13"/>
      <c r="J958" s="13"/>
    </row>
    <row r="959" spans="1:10" ht="11.25">
      <c r="A959" s="11"/>
      <c r="B959" s="12"/>
      <c r="C959" s="13"/>
      <c r="D959" s="13"/>
      <c r="E959" s="13"/>
      <c r="F959" s="14"/>
      <c r="G959" s="11"/>
      <c r="H959" s="13"/>
      <c r="I959" s="13"/>
      <c r="J959" s="13"/>
    </row>
    <row r="960" spans="1:10" ht="11.25">
      <c r="A960" s="11"/>
      <c r="B960" s="12"/>
      <c r="C960" s="13"/>
      <c r="D960" s="13"/>
      <c r="E960" s="13"/>
      <c r="F960" s="14"/>
      <c r="G960" s="11"/>
      <c r="H960" s="13"/>
      <c r="I960" s="13"/>
      <c r="J960" s="13"/>
    </row>
    <row r="961" spans="1:10" ht="11.25">
      <c r="A961" s="11"/>
      <c r="B961" s="12"/>
      <c r="C961" s="13"/>
      <c r="D961" s="13"/>
      <c r="E961" s="13"/>
      <c r="F961" s="14"/>
      <c r="G961" s="11"/>
      <c r="H961" s="13"/>
      <c r="I961" s="13"/>
      <c r="J961" s="13"/>
    </row>
    <row r="962" spans="1:10" ht="11.25">
      <c r="A962" s="11"/>
      <c r="B962" s="12"/>
      <c r="C962" s="13"/>
      <c r="D962" s="13"/>
      <c r="E962" s="13"/>
      <c r="F962" s="14"/>
      <c r="G962" s="11"/>
      <c r="H962" s="13"/>
      <c r="I962" s="13"/>
      <c r="J962" s="13"/>
    </row>
    <row r="963" spans="1:10" ht="11.25">
      <c r="A963" s="11"/>
      <c r="B963" s="12"/>
      <c r="C963" s="13"/>
      <c r="D963" s="13"/>
      <c r="E963" s="13"/>
      <c r="F963" s="14"/>
      <c r="G963" s="11"/>
      <c r="H963" s="13"/>
      <c r="I963" s="13"/>
      <c r="J963" s="13"/>
    </row>
    <row r="964" spans="1:10" ht="11.25">
      <c r="A964" s="11"/>
      <c r="B964" s="12"/>
      <c r="C964" s="13"/>
      <c r="D964" s="13"/>
      <c r="E964" s="13"/>
      <c r="F964" s="14"/>
      <c r="G964" s="11"/>
      <c r="H964" s="13"/>
      <c r="I964" s="13"/>
      <c r="J964" s="13"/>
    </row>
    <row r="965" spans="1:10" ht="11.25">
      <c r="A965" s="11"/>
      <c r="B965" s="12"/>
      <c r="C965" s="13"/>
      <c r="D965" s="13"/>
      <c r="E965" s="13"/>
      <c r="F965" s="14"/>
      <c r="G965" s="11"/>
      <c r="H965" s="13"/>
      <c r="I965" s="13"/>
      <c r="J965" s="13"/>
    </row>
    <row r="966" spans="1:10" ht="11.25">
      <c r="A966" s="11"/>
      <c r="B966" s="12"/>
      <c r="C966" s="13"/>
      <c r="D966" s="13"/>
      <c r="E966" s="13"/>
      <c r="F966" s="14"/>
      <c r="G966" s="11"/>
      <c r="H966" s="13"/>
      <c r="I966" s="13"/>
      <c r="J966" s="13"/>
    </row>
    <row r="967" spans="1:10" ht="11.25">
      <c r="A967" s="11"/>
      <c r="B967" s="12"/>
      <c r="C967" s="13"/>
      <c r="D967" s="13"/>
      <c r="E967" s="13"/>
      <c r="F967" s="14"/>
      <c r="G967" s="11"/>
      <c r="H967" s="13"/>
      <c r="I967" s="13"/>
      <c r="J967" s="13"/>
    </row>
    <row r="968" spans="1:10" ht="11.25">
      <c r="A968" s="11"/>
      <c r="B968" s="12"/>
      <c r="C968" s="13"/>
      <c r="D968" s="13"/>
      <c r="E968" s="13"/>
      <c r="F968" s="14"/>
      <c r="G968" s="11"/>
      <c r="H968" s="13"/>
      <c r="I968" s="13"/>
      <c r="J968" s="13"/>
    </row>
    <row r="969" spans="1:10" ht="11.25">
      <c r="A969" s="11"/>
      <c r="B969" s="12"/>
      <c r="C969" s="13"/>
      <c r="D969" s="13"/>
      <c r="E969" s="13"/>
      <c r="F969" s="14"/>
      <c r="G969" s="11"/>
      <c r="H969" s="13"/>
      <c r="I969" s="13"/>
      <c r="J969" s="13"/>
    </row>
    <row r="970" spans="1:10" ht="11.25">
      <c r="A970" s="11"/>
      <c r="B970" s="12"/>
      <c r="C970" s="13"/>
      <c r="D970" s="13"/>
      <c r="E970" s="13"/>
      <c r="F970" s="14"/>
      <c r="G970" s="11"/>
      <c r="H970" s="13"/>
      <c r="I970" s="13"/>
      <c r="J970" s="13"/>
    </row>
    <row r="971" spans="1:10" ht="11.25">
      <c r="A971" s="11"/>
      <c r="B971" s="12"/>
      <c r="C971" s="13"/>
      <c r="D971" s="13"/>
      <c r="E971" s="13"/>
      <c r="F971" s="14"/>
      <c r="G971" s="11"/>
      <c r="H971" s="13"/>
      <c r="I971" s="13"/>
      <c r="J971" s="13"/>
    </row>
    <row r="972" spans="1:10" ht="11.25">
      <c r="A972" s="11"/>
      <c r="B972" s="12"/>
      <c r="C972" s="13"/>
      <c r="D972" s="13"/>
      <c r="E972" s="13"/>
      <c r="F972" s="14"/>
      <c r="G972" s="11"/>
      <c r="H972" s="13"/>
      <c r="I972" s="13"/>
      <c r="J972" s="13"/>
    </row>
    <row r="973" spans="1:10" ht="11.25">
      <c r="A973" s="11"/>
      <c r="B973" s="12"/>
      <c r="C973" s="13"/>
      <c r="D973" s="13"/>
      <c r="E973" s="13"/>
      <c r="F973" s="14"/>
      <c r="G973" s="11"/>
      <c r="H973" s="13"/>
      <c r="I973" s="13"/>
      <c r="J973" s="13"/>
    </row>
    <row r="974" spans="1:10" ht="11.25">
      <c r="A974" s="11"/>
      <c r="B974" s="12"/>
      <c r="C974" s="13"/>
      <c r="D974" s="13"/>
      <c r="E974" s="13"/>
      <c r="F974" s="14"/>
      <c r="G974" s="11"/>
      <c r="H974" s="13"/>
      <c r="I974" s="13"/>
      <c r="J974" s="13"/>
    </row>
    <row r="975" spans="1:10" ht="11.25">
      <c r="A975" s="11"/>
      <c r="B975" s="12"/>
      <c r="C975" s="13"/>
      <c r="D975" s="13"/>
      <c r="E975" s="13"/>
      <c r="F975" s="14"/>
      <c r="G975" s="11"/>
      <c r="H975" s="13"/>
      <c r="I975" s="13"/>
      <c r="J975" s="13"/>
    </row>
    <row r="976" spans="1:10" ht="11.25">
      <c r="A976" s="11"/>
      <c r="B976" s="12"/>
      <c r="C976" s="13"/>
      <c r="D976" s="13"/>
      <c r="E976" s="13"/>
      <c r="F976" s="14"/>
      <c r="G976" s="11"/>
      <c r="H976" s="13"/>
      <c r="I976" s="13"/>
      <c r="J976" s="13"/>
    </row>
    <row r="977" spans="1:10" ht="11.25">
      <c r="A977" s="11"/>
      <c r="B977" s="12"/>
      <c r="C977" s="13"/>
      <c r="D977" s="13"/>
      <c r="E977" s="13"/>
      <c r="F977" s="14"/>
      <c r="G977" s="11"/>
      <c r="H977" s="13"/>
      <c r="I977" s="13"/>
      <c r="J977" s="13"/>
    </row>
    <row r="978" spans="1:10" ht="11.25">
      <c r="A978" s="11"/>
      <c r="B978" s="12"/>
      <c r="C978" s="13"/>
      <c r="D978" s="13"/>
      <c r="E978" s="13"/>
      <c r="F978" s="14"/>
      <c r="G978" s="11"/>
      <c r="H978" s="13"/>
      <c r="I978" s="13"/>
      <c r="J978" s="13"/>
    </row>
    <row r="979" spans="1:10" ht="11.25">
      <c r="A979" s="11"/>
      <c r="B979" s="12"/>
      <c r="C979" s="13"/>
      <c r="D979" s="13"/>
      <c r="E979" s="13"/>
      <c r="F979" s="14"/>
      <c r="G979" s="11"/>
      <c r="H979" s="13"/>
      <c r="I979" s="13"/>
      <c r="J979" s="13"/>
    </row>
    <row r="980" spans="1:10" ht="11.25">
      <c r="A980" s="11"/>
      <c r="B980" s="12"/>
      <c r="C980" s="13"/>
      <c r="D980" s="13"/>
      <c r="E980" s="13"/>
      <c r="F980" s="14"/>
      <c r="G980" s="11"/>
      <c r="H980" s="13"/>
      <c r="I980" s="13"/>
      <c r="J980" s="13"/>
    </row>
    <row r="981" spans="1:10" ht="11.25">
      <c r="A981" s="11"/>
      <c r="B981" s="12"/>
      <c r="C981" s="13"/>
      <c r="D981" s="13"/>
      <c r="E981" s="13"/>
      <c r="F981" s="14"/>
      <c r="G981" s="11"/>
      <c r="H981" s="13"/>
      <c r="I981" s="13"/>
      <c r="J981" s="13"/>
    </row>
    <row r="982" spans="1:10" ht="11.25">
      <c r="A982" s="11"/>
      <c r="B982" s="12"/>
      <c r="C982" s="13"/>
      <c r="D982" s="13"/>
      <c r="E982" s="13"/>
      <c r="F982" s="14"/>
      <c r="G982" s="11"/>
      <c r="H982" s="13"/>
      <c r="I982" s="13"/>
      <c r="J982" s="13"/>
    </row>
    <row r="983" spans="1:10" ht="11.25">
      <c r="A983" s="11"/>
      <c r="B983" s="12"/>
      <c r="C983" s="13"/>
      <c r="D983" s="13"/>
      <c r="E983" s="13"/>
      <c r="F983" s="14"/>
      <c r="G983" s="11"/>
      <c r="H983" s="13"/>
      <c r="I983" s="13"/>
      <c r="J983" s="13"/>
    </row>
    <row r="984" spans="1:10" ht="11.25">
      <c r="A984" s="11"/>
      <c r="B984" s="12"/>
      <c r="C984" s="13"/>
      <c r="D984" s="13"/>
      <c r="E984" s="13"/>
      <c r="F984" s="14"/>
      <c r="G984" s="11"/>
      <c r="H984" s="13"/>
      <c r="I984" s="13"/>
      <c r="J984" s="13"/>
    </row>
    <row r="985" spans="1:10" ht="11.25">
      <c r="A985" s="11"/>
      <c r="B985" s="12"/>
      <c r="C985" s="13"/>
      <c r="D985" s="13"/>
      <c r="E985" s="13"/>
      <c r="F985" s="14"/>
      <c r="G985" s="11"/>
      <c r="H985" s="13"/>
      <c r="I985" s="13"/>
      <c r="J985" s="13"/>
    </row>
    <row r="986" spans="1:10" ht="11.25">
      <c r="A986" s="11"/>
      <c r="B986" s="12"/>
      <c r="C986" s="13"/>
      <c r="D986" s="13"/>
      <c r="E986" s="13"/>
      <c r="F986" s="14"/>
      <c r="G986" s="11"/>
      <c r="H986" s="13"/>
      <c r="I986" s="13"/>
      <c r="J986" s="13"/>
    </row>
    <row r="987" spans="1:10" ht="11.25">
      <c r="A987" s="11"/>
      <c r="B987" s="12"/>
      <c r="C987" s="13"/>
      <c r="D987" s="13"/>
      <c r="E987" s="13"/>
      <c r="F987" s="14"/>
      <c r="G987" s="11"/>
      <c r="H987" s="13"/>
      <c r="I987" s="13"/>
      <c r="J987" s="13"/>
    </row>
    <row r="988" spans="1:10" ht="11.25">
      <c r="A988" s="11"/>
      <c r="B988" s="12"/>
      <c r="C988" s="13"/>
      <c r="D988" s="13"/>
      <c r="E988" s="13"/>
      <c r="F988" s="14"/>
      <c r="G988" s="11"/>
      <c r="H988" s="13"/>
      <c r="I988" s="13"/>
      <c r="J988" s="13"/>
    </row>
    <row r="989" spans="1:10" ht="11.25">
      <c r="A989" s="11"/>
      <c r="B989" s="12"/>
      <c r="C989" s="13"/>
      <c r="D989" s="13"/>
      <c r="E989" s="13"/>
      <c r="F989" s="14"/>
      <c r="G989" s="11"/>
      <c r="H989" s="13"/>
      <c r="I989" s="13"/>
      <c r="J989" s="13"/>
    </row>
    <row r="990" spans="1:10" ht="11.25">
      <c r="A990" s="11"/>
      <c r="B990" s="12"/>
      <c r="C990" s="13"/>
      <c r="D990" s="13"/>
      <c r="E990" s="13"/>
      <c r="F990" s="14"/>
      <c r="G990" s="11"/>
      <c r="H990" s="13"/>
      <c r="I990" s="13"/>
      <c r="J990" s="13"/>
    </row>
    <row r="991" spans="1:10" ht="11.25">
      <c r="A991" s="11"/>
      <c r="B991" s="12"/>
      <c r="C991" s="13"/>
      <c r="D991" s="13"/>
      <c r="E991" s="13"/>
      <c r="F991" s="14"/>
      <c r="G991" s="11"/>
      <c r="H991" s="13"/>
      <c r="I991" s="13"/>
      <c r="J991" s="13"/>
    </row>
    <row r="992" spans="1:10" ht="11.25">
      <c r="A992" s="11"/>
      <c r="B992" s="12"/>
      <c r="C992" s="13"/>
      <c r="D992" s="13"/>
      <c r="E992" s="13"/>
      <c r="F992" s="14"/>
      <c r="G992" s="11"/>
      <c r="H992" s="13"/>
      <c r="I992" s="13"/>
      <c r="J992" s="13"/>
    </row>
    <row r="993" spans="1:10" ht="11.25">
      <c r="A993" s="11"/>
      <c r="B993" s="12"/>
      <c r="C993" s="13"/>
      <c r="D993" s="13"/>
      <c r="E993" s="13"/>
      <c r="F993" s="14"/>
      <c r="G993" s="11"/>
      <c r="H993" s="13"/>
      <c r="I993" s="13"/>
      <c r="J993" s="13"/>
    </row>
    <row r="994" spans="1:10" ht="11.25">
      <c r="A994" s="11"/>
      <c r="B994" s="12"/>
      <c r="C994" s="13"/>
      <c r="D994" s="13"/>
      <c r="E994" s="13"/>
      <c r="F994" s="14"/>
      <c r="G994" s="11"/>
      <c r="H994" s="13"/>
      <c r="I994" s="13"/>
      <c r="J994" s="13"/>
    </row>
    <row r="995" spans="1:10" ht="11.25">
      <c r="A995" s="11"/>
      <c r="B995" s="12"/>
      <c r="C995" s="13"/>
      <c r="D995" s="13"/>
      <c r="E995" s="13"/>
      <c r="F995" s="14"/>
      <c r="G995" s="11"/>
      <c r="H995" s="13"/>
      <c r="I995" s="13"/>
      <c r="J995" s="13"/>
    </row>
    <row r="996" spans="1:10" ht="11.25">
      <c r="A996" s="11"/>
      <c r="B996" s="12"/>
      <c r="C996" s="13"/>
      <c r="D996" s="13"/>
      <c r="E996" s="13"/>
      <c r="F996" s="14"/>
      <c r="G996" s="11"/>
      <c r="H996" s="13"/>
      <c r="I996" s="13"/>
      <c r="J996" s="13"/>
    </row>
    <row r="997" spans="1:10" ht="11.25">
      <c r="A997" s="11"/>
      <c r="B997" s="12"/>
      <c r="C997" s="13"/>
      <c r="D997" s="13"/>
      <c r="E997" s="13"/>
      <c r="F997" s="14"/>
      <c r="G997" s="11"/>
      <c r="H997" s="13"/>
      <c r="I997" s="13"/>
      <c r="J997" s="13"/>
    </row>
    <row r="998" spans="1:10" ht="11.25">
      <c r="A998" s="11"/>
      <c r="B998" s="12"/>
      <c r="C998" s="13"/>
      <c r="D998" s="13"/>
      <c r="E998" s="13"/>
      <c r="F998" s="14"/>
      <c r="G998" s="11"/>
      <c r="H998" s="13"/>
      <c r="I998" s="13"/>
      <c r="J998" s="13"/>
    </row>
    <row r="999" spans="1:10" ht="11.25">
      <c r="A999" s="11"/>
      <c r="B999" s="12"/>
      <c r="C999" s="13"/>
      <c r="D999" s="13"/>
      <c r="E999" s="13"/>
      <c r="F999" s="14"/>
      <c r="G999" s="11"/>
      <c r="H999" s="13"/>
      <c r="I999" s="13"/>
      <c r="J999" s="13"/>
    </row>
    <row r="1000" spans="1:10" ht="11.25">
      <c r="A1000" s="11"/>
      <c r="B1000" s="12"/>
      <c r="C1000" s="13"/>
      <c r="D1000" s="13"/>
      <c r="E1000" s="13"/>
      <c r="F1000" s="14"/>
      <c r="G1000" s="11"/>
      <c r="H1000" s="13"/>
      <c r="I1000" s="13"/>
      <c r="J1000" s="13"/>
    </row>
    <row r="1001" spans="1:10" ht="11.25">
      <c r="A1001" s="11"/>
      <c r="B1001" s="12"/>
      <c r="C1001" s="13"/>
      <c r="D1001" s="13"/>
      <c r="E1001" s="13"/>
      <c r="F1001" s="14"/>
      <c r="G1001" s="11"/>
      <c r="H1001" s="13"/>
      <c r="I1001" s="13"/>
      <c r="J1001" s="13"/>
    </row>
    <row r="1002" spans="1:10" ht="11.25">
      <c r="A1002" s="11"/>
      <c r="B1002" s="12"/>
      <c r="C1002" s="13"/>
      <c r="D1002" s="13"/>
      <c r="E1002" s="13"/>
      <c r="F1002" s="14"/>
      <c r="G1002" s="11"/>
      <c r="H1002" s="13"/>
      <c r="I1002" s="13"/>
      <c r="J1002" s="13"/>
    </row>
    <row r="1003" spans="1:10" ht="11.25">
      <c r="A1003" s="11"/>
      <c r="B1003" s="12"/>
      <c r="C1003" s="13"/>
      <c r="D1003" s="13"/>
      <c r="E1003" s="13"/>
      <c r="F1003" s="14"/>
      <c r="G1003" s="11"/>
      <c r="H1003" s="13"/>
      <c r="I1003" s="13"/>
      <c r="J1003" s="13"/>
    </row>
    <row r="1004" spans="1:10" ht="11.25">
      <c r="A1004" s="11"/>
      <c r="B1004" s="12"/>
      <c r="C1004" s="13"/>
      <c r="D1004" s="13"/>
      <c r="E1004" s="13"/>
      <c r="F1004" s="14"/>
      <c r="G1004" s="11"/>
      <c r="H1004" s="13"/>
      <c r="I1004" s="13"/>
      <c r="J1004" s="13"/>
    </row>
    <row r="1005" spans="1:10" ht="11.25">
      <c r="A1005" s="11"/>
      <c r="B1005" s="12"/>
      <c r="C1005" s="13"/>
      <c r="D1005" s="13"/>
      <c r="E1005" s="13"/>
      <c r="F1005" s="14"/>
      <c r="G1005" s="11"/>
      <c r="H1005" s="13"/>
      <c r="I1005" s="13"/>
      <c r="J1005" s="13"/>
    </row>
    <row r="1006" spans="1:10" ht="11.25">
      <c r="A1006" s="11"/>
      <c r="B1006" s="12"/>
      <c r="C1006" s="13"/>
      <c r="D1006" s="13"/>
      <c r="E1006" s="13"/>
      <c r="F1006" s="14"/>
      <c r="G1006" s="11"/>
      <c r="H1006" s="13"/>
      <c r="I1006" s="13"/>
      <c r="J1006" s="13"/>
    </row>
    <row r="1007" spans="1:10" ht="11.25">
      <c r="A1007" s="11"/>
      <c r="B1007" s="12"/>
      <c r="C1007" s="13"/>
      <c r="D1007" s="13"/>
      <c r="E1007" s="13"/>
      <c r="F1007" s="14"/>
      <c r="G1007" s="11"/>
      <c r="H1007" s="13"/>
      <c r="I1007" s="13"/>
      <c r="J1007" s="13"/>
    </row>
    <row r="1008" spans="1:10" ht="11.25">
      <c r="A1008" s="11"/>
      <c r="B1008" s="12"/>
      <c r="C1008" s="13"/>
      <c r="D1008" s="13"/>
      <c r="E1008" s="13"/>
      <c r="F1008" s="14"/>
      <c r="G1008" s="11"/>
      <c r="H1008" s="13"/>
      <c r="I1008" s="13"/>
      <c r="J1008" s="13"/>
    </row>
    <row r="1009" spans="1:10" ht="11.25">
      <c r="A1009" s="11"/>
      <c r="B1009" s="12"/>
      <c r="C1009" s="13"/>
      <c r="D1009" s="13"/>
      <c r="E1009" s="13"/>
      <c r="F1009" s="14"/>
      <c r="G1009" s="11"/>
      <c r="H1009" s="13"/>
      <c r="I1009" s="13"/>
      <c r="J1009" s="13"/>
    </row>
    <row r="1010" spans="1:10" ht="11.25">
      <c r="A1010" s="11"/>
      <c r="B1010" s="12"/>
      <c r="C1010" s="13"/>
      <c r="D1010" s="13"/>
      <c r="E1010" s="13"/>
      <c r="F1010" s="14"/>
      <c r="G1010" s="11"/>
      <c r="H1010" s="13"/>
      <c r="I1010" s="13"/>
      <c r="J1010" s="13"/>
    </row>
    <row r="1011" spans="1:10" ht="11.25">
      <c r="A1011" s="11"/>
      <c r="B1011" s="12"/>
      <c r="C1011" s="13"/>
      <c r="D1011" s="13"/>
      <c r="E1011" s="13"/>
      <c r="F1011" s="14"/>
      <c r="G1011" s="11"/>
      <c r="H1011" s="13"/>
      <c r="I1011" s="13"/>
      <c r="J1011" s="13"/>
    </row>
    <row r="1012" spans="1:10" ht="11.25">
      <c r="A1012" s="11"/>
      <c r="B1012" s="12"/>
      <c r="C1012" s="13"/>
      <c r="D1012" s="13"/>
      <c r="E1012" s="13"/>
      <c r="F1012" s="14"/>
      <c r="G1012" s="11"/>
      <c r="H1012" s="13"/>
      <c r="I1012" s="13"/>
      <c r="J1012" s="13"/>
    </row>
    <row r="1013" spans="1:10" ht="11.25">
      <c r="A1013" s="11"/>
      <c r="B1013" s="12"/>
      <c r="C1013" s="13"/>
      <c r="D1013" s="13"/>
      <c r="E1013" s="13"/>
      <c r="F1013" s="14"/>
      <c r="G1013" s="11"/>
      <c r="H1013" s="13"/>
      <c r="I1013" s="13"/>
      <c r="J1013" s="13"/>
    </row>
    <row r="1014" spans="1:10" ht="11.25">
      <c r="A1014" s="11"/>
      <c r="B1014" s="12"/>
      <c r="C1014" s="13"/>
      <c r="D1014" s="13"/>
      <c r="E1014" s="13"/>
      <c r="F1014" s="14"/>
      <c r="G1014" s="11"/>
      <c r="H1014" s="13"/>
      <c r="I1014" s="13"/>
      <c r="J1014" s="13"/>
    </row>
    <row r="1015" spans="1:10" ht="11.25">
      <c r="A1015" s="11"/>
      <c r="B1015" s="12"/>
      <c r="C1015" s="13"/>
      <c r="D1015" s="13"/>
      <c r="E1015" s="13"/>
      <c r="F1015" s="14"/>
      <c r="G1015" s="11"/>
      <c r="H1015" s="13"/>
      <c r="I1015" s="13"/>
      <c r="J1015" s="13"/>
    </row>
    <row r="1016" spans="1:10" ht="11.25">
      <c r="A1016" s="11"/>
      <c r="B1016" s="12"/>
      <c r="C1016" s="13"/>
      <c r="D1016" s="13"/>
      <c r="E1016" s="13"/>
      <c r="F1016" s="14"/>
      <c r="G1016" s="11"/>
      <c r="H1016" s="13"/>
      <c r="I1016" s="13"/>
      <c r="J1016" s="13"/>
    </row>
    <row r="1017" spans="1:10" ht="11.25">
      <c r="A1017" s="11"/>
      <c r="B1017" s="12"/>
      <c r="C1017" s="13"/>
      <c r="D1017" s="13"/>
      <c r="E1017" s="13"/>
      <c r="F1017" s="14"/>
      <c r="G1017" s="11"/>
      <c r="H1017" s="13"/>
      <c r="I1017" s="13"/>
      <c r="J1017" s="13"/>
    </row>
    <row r="1018" spans="1:10" ht="11.25">
      <c r="A1018" s="11"/>
      <c r="B1018" s="12"/>
      <c r="C1018" s="13"/>
      <c r="D1018" s="13"/>
      <c r="E1018" s="13"/>
      <c r="F1018" s="14"/>
      <c r="G1018" s="11"/>
      <c r="H1018" s="13"/>
      <c r="I1018" s="13"/>
      <c r="J1018" s="13"/>
    </row>
    <row r="1019" spans="1:10" ht="11.25">
      <c r="A1019" s="11"/>
      <c r="B1019" s="12"/>
      <c r="C1019" s="13"/>
      <c r="D1019" s="13"/>
      <c r="E1019" s="13"/>
      <c r="F1019" s="14"/>
      <c r="G1019" s="11"/>
      <c r="H1019" s="13"/>
      <c r="I1019" s="13"/>
      <c r="J1019" s="13"/>
    </row>
    <row r="1020" spans="1:10" ht="11.25">
      <c r="A1020" s="11"/>
      <c r="B1020" s="12"/>
      <c r="C1020" s="13"/>
      <c r="D1020" s="13"/>
      <c r="E1020" s="13"/>
      <c r="F1020" s="14"/>
      <c r="G1020" s="11"/>
      <c r="H1020" s="13"/>
      <c r="I1020" s="13"/>
      <c r="J1020" s="13"/>
    </row>
    <row r="1021" spans="1:10" ht="11.25">
      <c r="A1021" s="11"/>
      <c r="B1021" s="12"/>
      <c r="C1021" s="13"/>
      <c r="D1021" s="13"/>
      <c r="E1021" s="13"/>
      <c r="F1021" s="14"/>
      <c r="G1021" s="11"/>
      <c r="H1021" s="13"/>
      <c r="I1021" s="13"/>
      <c r="J1021" s="13"/>
    </row>
    <row r="1022" spans="1:10" ht="11.25">
      <c r="A1022" s="11"/>
      <c r="B1022" s="12"/>
      <c r="C1022" s="13"/>
      <c r="D1022" s="13"/>
      <c r="E1022" s="13"/>
      <c r="F1022" s="14"/>
      <c r="G1022" s="11"/>
      <c r="H1022" s="13"/>
      <c r="I1022" s="13"/>
      <c r="J1022" s="13"/>
    </row>
    <row r="1023" spans="1:10" ht="11.25">
      <c r="A1023" s="11"/>
      <c r="B1023" s="12"/>
      <c r="C1023" s="13"/>
      <c r="D1023" s="13"/>
      <c r="E1023" s="13"/>
      <c r="F1023" s="14"/>
      <c r="G1023" s="11"/>
      <c r="H1023" s="13"/>
      <c r="I1023" s="13"/>
      <c r="J1023" s="13"/>
    </row>
    <row r="1024" spans="1:10" ht="11.25">
      <c r="A1024" s="11"/>
      <c r="B1024" s="12"/>
      <c r="C1024" s="13"/>
      <c r="D1024" s="13"/>
      <c r="E1024" s="13"/>
      <c r="F1024" s="14"/>
      <c r="G1024" s="11"/>
      <c r="H1024" s="13"/>
      <c r="I1024" s="13"/>
      <c r="J1024" s="13"/>
    </row>
    <row r="1025" spans="1:10" ht="11.25">
      <c r="A1025" s="11"/>
      <c r="B1025" s="12"/>
      <c r="C1025" s="13"/>
      <c r="D1025" s="13"/>
      <c r="E1025" s="13"/>
      <c r="F1025" s="14"/>
      <c r="G1025" s="11"/>
      <c r="H1025" s="13"/>
      <c r="I1025" s="13"/>
      <c r="J1025" s="13"/>
    </row>
    <row r="1026" spans="1:10" ht="11.25">
      <c r="A1026" s="11"/>
      <c r="B1026" s="12"/>
      <c r="C1026" s="13"/>
      <c r="D1026" s="13"/>
      <c r="E1026" s="13"/>
      <c r="F1026" s="14"/>
      <c r="G1026" s="11"/>
      <c r="H1026" s="13"/>
      <c r="I1026" s="13"/>
      <c r="J1026" s="13"/>
    </row>
    <row r="1027" spans="1:10" ht="11.25">
      <c r="A1027" s="11"/>
      <c r="B1027" s="12"/>
      <c r="C1027" s="13"/>
      <c r="D1027" s="13"/>
      <c r="E1027" s="13"/>
      <c r="F1027" s="14"/>
      <c r="G1027" s="11"/>
      <c r="H1027" s="13"/>
      <c r="I1027" s="13"/>
      <c r="J1027" s="13"/>
    </row>
    <row r="1028" spans="1:10" ht="11.25">
      <c r="A1028" s="11"/>
      <c r="B1028" s="12"/>
      <c r="C1028" s="13"/>
      <c r="D1028" s="13"/>
      <c r="E1028" s="13"/>
      <c r="F1028" s="14"/>
      <c r="G1028" s="11"/>
      <c r="H1028" s="13"/>
      <c r="I1028" s="13"/>
      <c r="J1028" s="13"/>
    </row>
    <row r="1029" spans="1:10" ht="11.25">
      <c r="A1029" s="11"/>
      <c r="B1029" s="12"/>
      <c r="C1029" s="13"/>
      <c r="D1029" s="13"/>
      <c r="E1029" s="13"/>
      <c r="F1029" s="14"/>
      <c r="G1029" s="11"/>
      <c r="H1029" s="13"/>
      <c r="I1029" s="13"/>
      <c r="J1029" s="13"/>
    </row>
    <row r="1030" spans="1:10" ht="11.25">
      <c r="A1030" s="11"/>
      <c r="B1030" s="12"/>
      <c r="C1030" s="13"/>
      <c r="D1030" s="13"/>
      <c r="E1030" s="13"/>
      <c r="F1030" s="14"/>
      <c r="G1030" s="11"/>
      <c r="H1030" s="13"/>
      <c r="I1030" s="13"/>
      <c r="J1030" s="13"/>
    </row>
    <row r="1031" spans="1:10" ht="11.25">
      <c r="A1031" s="11"/>
      <c r="B1031" s="12"/>
      <c r="C1031" s="13"/>
      <c r="D1031" s="13"/>
      <c r="E1031" s="13"/>
      <c r="F1031" s="14"/>
      <c r="G1031" s="11"/>
      <c r="H1031" s="13"/>
      <c r="I1031" s="13"/>
      <c r="J1031" s="13"/>
    </row>
    <row r="1032" spans="1:10" ht="11.25">
      <c r="A1032" s="11"/>
      <c r="B1032" s="12"/>
      <c r="C1032" s="13"/>
      <c r="D1032" s="13"/>
      <c r="E1032" s="13"/>
      <c r="F1032" s="14"/>
      <c r="G1032" s="11"/>
      <c r="H1032" s="13"/>
      <c r="I1032" s="13"/>
      <c r="J1032" s="13"/>
    </row>
    <row r="1033" spans="1:10" ht="11.25">
      <c r="A1033" s="11"/>
      <c r="B1033" s="12"/>
      <c r="C1033" s="13"/>
      <c r="D1033" s="13"/>
      <c r="E1033" s="13"/>
      <c r="F1033" s="14"/>
      <c r="G1033" s="11"/>
      <c r="H1033" s="13"/>
      <c r="I1033" s="13"/>
      <c r="J1033" s="13"/>
    </row>
    <row r="1034" spans="1:10" ht="11.25">
      <c r="A1034" s="11"/>
      <c r="B1034" s="12"/>
      <c r="C1034" s="13"/>
      <c r="D1034" s="13"/>
      <c r="E1034" s="13"/>
      <c r="F1034" s="14"/>
      <c r="G1034" s="11"/>
      <c r="H1034" s="13"/>
      <c r="I1034" s="13"/>
      <c r="J1034" s="13"/>
    </row>
    <row r="1035" spans="1:10" ht="11.25">
      <c r="A1035" s="11"/>
      <c r="B1035" s="12"/>
      <c r="C1035" s="13"/>
      <c r="D1035" s="13"/>
      <c r="E1035" s="13"/>
      <c r="F1035" s="14"/>
      <c r="G1035" s="11"/>
      <c r="H1035" s="13"/>
      <c r="I1035" s="13"/>
      <c r="J1035" s="13"/>
    </row>
    <row r="1036" spans="1:10" ht="11.25">
      <c r="A1036" s="11"/>
      <c r="B1036" s="12"/>
      <c r="C1036" s="13"/>
      <c r="D1036" s="13"/>
      <c r="E1036" s="13"/>
      <c r="F1036" s="14"/>
      <c r="G1036" s="11"/>
      <c r="H1036" s="13"/>
      <c r="I1036" s="13"/>
      <c r="J1036" s="13"/>
    </row>
    <row r="1037" spans="1:10" ht="11.25">
      <c r="A1037" s="11"/>
      <c r="B1037" s="12"/>
      <c r="C1037" s="13"/>
      <c r="D1037" s="13"/>
      <c r="E1037" s="13"/>
      <c r="F1037" s="14"/>
      <c r="G1037" s="11"/>
      <c r="H1037" s="13"/>
      <c r="I1037" s="13"/>
      <c r="J1037" s="13"/>
    </row>
    <row r="1038" spans="1:10" ht="11.25">
      <c r="A1038" s="11"/>
      <c r="B1038" s="12"/>
      <c r="C1038" s="13"/>
      <c r="D1038" s="13"/>
      <c r="E1038" s="13"/>
      <c r="F1038" s="14"/>
      <c r="G1038" s="11"/>
      <c r="H1038" s="13"/>
      <c r="I1038" s="13"/>
      <c r="J1038" s="13"/>
    </row>
    <row r="1039" spans="1:10" ht="11.25">
      <c r="A1039" s="11"/>
      <c r="B1039" s="12"/>
      <c r="C1039" s="13"/>
      <c r="D1039" s="13"/>
      <c r="E1039" s="13"/>
      <c r="F1039" s="14"/>
      <c r="G1039" s="11"/>
      <c r="H1039" s="13"/>
      <c r="I1039" s="13"/>
      <c r="J1039" s="13"/>
    </row>
    <row r="1040" spans="1:10" ht="11.25">
      <c r="A1040" s="11"/>
      <c r="B1040" s="12"/>
      <c r="C1040" s="13"/>
      <c r="D1040" s="13"/>
      <c r="E1040" s="13"/>
      <c r="F1040" s="14"/>
      <c r="G1040" s="11"/>
      <c r="H1040" s="13"/>
      <c r="I1040" s="13"/>
      <c r="J1040" s="13"/>
    </row>
    <row r="1041" spans="1:10" ht="11.25">
      <c r="A1041" s="11"/>
      <c r="B1041" s="12"/>
      <c r="C1041" s="13"/>
      <c r="D1041" s="13"/>
      <c r="E1041" s="13"/>
      <c r="F1041" s="14"/>
      <c r="G1041" s="11"/>
      <c r="H1041" s="13"/>
      <c r="I1041" s="13"/>
      <c r="J1041" s="13"/>
    </row>
    <row r="1042" spans="1:10" ht="11.25">
      <c r="A1042" s="11"/>
      <c r="B1042" s="12"/>
      <c r="C1042" s="13"/>
      <c r="D1042" s="13"/>
      <c r="E1042" s="13"/>
      <c r="F1042" s="14"/>
      <c r="G1042" s="11"/>
      <c r="H1042" s="13"/>
      <c r="I1042" s="13"/>
      <c r="J1042" s="13"/>
    </row>
    <row r="1043" spans="1:10" ht="11.25">
      <c r="A1043" s="11"/>
      <c r="B1043" s="12"/>
      <c r="C1043" s="13"/>
      <c r="D1043" s="13"/>
      <c r="E1043" s="13"/>
      <c r="F1043" s="14"/>
      <c r="G1043" s="11"/>
      <c r="H1043" s="13"/>
      <c r="I1043" s="13"/>
      <c r="J1043" s="13"/>
    </row>
    <row r="1044" spans="1:10" ht="11.25">
      <c r="A1044" s="11"/>
      <c r="B1044" s="12"/>
      <c r="C1044" s="13"/>
      <c r="D1044" s="13"/>
      <c r="E1044" s="13"/>
      <c r="F1044" s="14"/>
      <c r="G1044" s="11"/>
      <c r="H1044" s="13"/>
      <c r="I1044" s="13"/>
      <c r="J1044" s="13"/>
    </row>
    <row r="1045" spans="1:10" ht="11.25">
      <c r="A1045" s="11"/>
      <c r="B1045" s="12"/>
      <c r="C1045" s="13"/>
      <c r="D1045" s="13"/>
      <c r="E1045" s="13"/>
      <c r="F1045" s="14"/>
      <c r="G1045" s="11"/>
      <c r="H1045" s="13"/>
      <c r="I1045" s="13"/>
      <c r="J1045" s="13"/>
    </row>
    <row r="1046" spans="1:10" ht="11.25">
      <c r="A1046" s="11"/>
      <c r="B1046" s="12"/>
      <c r="C1046" s="13"/>
      <c r="D1046" s="13"/>
      <c r="E1046" s="13"/>
      <c r="F1046" s="14"/>
      <c r="G1046" s="11"/>
      <c r="H1046" s="13"/>
      <c r="I1046" s="13"/>
      <c r="J1046" s="13"/>
    </row>
    <row r="1047" spans="1:10" ht="11.25">
      <c r="A1047" s="11"/>
      <c r="B1047" s="12"/>
      <c r="C1047" s="13"/>
      <c r="D1047" s="13"/>
      <c r="E1047" s="13"/>
      <c r="F1047" s="14"/>
      <c r="G1047" s="11"/>
      <c r="H1047" s="13"/>
      <c r="I1047" s="13"/>
      <c r="J1047" s="13"/>
    </row>
    <row r="1048" spans="1:10" ht="11.25">
      <c r="A1048" s="11"/>
      <c r="B1048" s="12"/>
      <c r="C1048" s="13"/>
      <c r="D1048" s="13"/>
      <c r="E1048" s="13"/>
      <c r="F1048" s="14"/>
      <c r="G1048" s="11"/>
      <c r="H1048" s="13"/>
      <c r="I1048" s="13"/>
      <c r="J1048" s="13"/>
    </row>
    <row r="1049" spans="1:10" ht="11.25">
      <c r="A1049" s="11"/>
      <c r="B1049" s="12"/>
      <c r="C1049" s="13"/>
      <c r="D1049" s="13"/>
      <c r="E1049" s="13"/>
      <c r="F1049" s="14"/>
      <c r="G1049" s="11"/>
      <c r="H1049" s="13"/>
      <c r="I1049" s="13"/>
      <c r="J1049" s="13"/>
    </row>
    <row r="1050" spans="1:10" ht="11.25">
      <c r="A1050" s="11"/>
      <c r="B1050" s="12"/>
      <c r="C1050" s="13"/>
      <c r="D1050" s="13"/>
      <c r="E1050" s="13"/>
      <c r="F1050" s="14"/>
      <c r="G1050" s="11"/>
      <c r="H1050" s="13"/>
      <c r="I1050" s="13"/>
      <c r="J1050" s="13"/>
    </row>
    <row r="1051" spans="1:10" ht="11.25">
      <c r="A1051" s="11"/>
      <c r="B1051" s="12"/>
      <c r="C1051" s="13"/>
      <c r="D1051" s="13"/>
      <c r="E1051" s="13"/>
      <c r="F1051" s="14"/>
      <c r="G1051" s="11"/>
      <c r="H1051" s="13"/>
      <c r="I1051" s="13"/>
      <c r="J1051" s="13"/>
    </row>
    <row r="1052" spans="1:10" ht="11.25">
      <c r="A1052" s="11"/>
      <c r="B1052" s="12"/>
      <c r="C1052" s="13"/>
      <c r="D1052" s="13"/>
      <c r="E1052" s="13"/>
      <c r="F1052" s="14"/>
      <c r="G1052" s="11"/>
      <c r="H1052" s="13"/>
      <c r="I1052" s="13"/>
      <c r="J1052" s="13"/>
    </row>
    <row r="1053" spans="1:10" ht="11.25">
      <c r="A1053" s="11"/>
      <c r="B1053" s="12"/>
      <c r="C1053" s="13"/>
      <c r="D1053" s="13"/>
      <c r="E1053" s="13"/>
      <c r="F1053" s="14"/>
      <c r="G1053" s="11"/>
      <c r="H1053" s="13"/>
      <c r="I1053" s="13"/>
      <c r="J1053" s="13"/>
    </row>
    <row r="1054" spans="1:10" ht="11.25">
      <c r="A1054" s="11"/>
      <c r="B1054" s="12"/>
      <c r="C1054" s="13"/>
      <c r="D1054" s="13"/>
      <c r="E1054" s="13"/>
      <c r="F1054" s="14"/>
      <c r="G1054" s="11"/>
      <c r="H1054" s="13"/>
      <c r="I1054" s="13"/>
      <c r="J1054" s="13"/>
    </row>
    <row r="1055" spans="1:10" ht="11.25">
      <c r="A1055" s="11"/>
      <c r="B1055" s="12"/>
      <c r="C1055" s="13"/>
      <c r="D1055" s="13"/>
      <c r="E1055" s="13"/>
      <c r="F1055" s="14"/>
      <c r="G1055" s="11"/>
      <c r="H1055" s="13"/>
      <c r="I1055" s="13"/>
      <c r="J1055" s="13"/>
    </row>
    <row r="1056" spans="1:10" ht="11.25">
      <c r="A1056" s="11"/>
      <c r="B1056" s="12"/>
      <c r="C1056" s="13"/>
      <c r="D1056" s="13"/>
      <c r="E1056" s="13"/>
      <c r="F1056" s="14"/>
      <c r="G1056" s="11"/>
      <c r="H1056" s="13"/>
      <c r="I1056" s="13"/>
      <c r="J1056" s="13"/>
    </row>
    <row r="1057" spans="1:10" ht="11.25">
      <c r="A1057" s="11"/>
      <c r="B1057" s="12"/>
      <c r="C1057" s="13"/>
      <c r="D1057" s="13"/>
      <c r="E1057" s="13"/>
      <c r="F1057" s="14"/>
      <c r="G1057" s="11"/>
      <c r="H1057" s="13"/>
      <c r="I1057" s="13"/>
      <c r="J1057" s="13"/>
    </row>
    <row r="1058" spans="1:10" ht="11.25">
      <c r="A1058" s="11"/>
      <c r="B1058" s="12"/>
      <c r="C1058" s="13"/>
      <c r="D1058" s="13"/>
      <c r="E1058" s="13"/>
      <c r="F1058" s="14"/>
      <c r="G1058" s="11"/>
      <c r="H1058" s="13"/>
      <c r="I1058" s="13"/>
      <c r="J1058" s="13"/>
    </row>
    <row r="1059" spans="1:10" ht="11.25">
      <c r="A1059" s="11"/>
      <c r="B1059" s="12"/>
      <c r="C1059" s="13"/>
      <c r="D1059" s="13"/>
      <c r="E1059" s="13"/>
      <c r="F1059" s="14"/>
      <c r="G1059" s="11"/>
      <c r="H1059" s="13"/>
      <c r="I1059" s="13"/>
      <c r="J1059" s="13"/>
    </row>
    <row r="1060" spans="1:10" ht="11.25">
      <c r="A1060" s="11"/>
      <c r="B1060" s="12"/>
      <c r="C1060" s="13"/>
      <c r="D1060" s="13"/>
      <c r="E1060" s="13"/>
      <c r="F1060" s="14"/>
      <c r="G1060" s="11"/>
      <c r="H1060" s="13"/>
      <c r="I1060" s="13"/>
      <c r="J1060" s="13"/>
    </row>
    <row r="1061" spans="1:10" ht="11.25">
      <c r="A1061" s="11"/>
      <c r="B1061" s="12"/>
      <c r="C1061" s="13"/>
      <c r="D1061" s="13"/>
      <c r="E1061" s="13"/>
      <c r="F1061" s="14"/>
      <c r="G1061" s="11"/>
      <c r="H1061" s="13"/>
      <c r="I1061" s="13"/>
      <c r="J1061" s="13"/>
    </row>
    <row r="1062" spans="1:10" ht="11.25">
      <c r="A1062" s="11"/>
      <c r="B1062" s="12"/>
      <c r="C1062" s="13"/>
      <c r="D1062" s="13"/>
      <c r="E1062" s="13"/>
      <c r="F1062" s="14"/>
      <c r="G1062" s="11"/>
      <c r="H1062" s="13"/>
      <c r="I1062" s="13"/>
      <c r="J1062" s="13"/>
    </row>
    <row r="1063" spans="1:10" ht="11.25">
      <c r="A1063" s="11"/>
      <c r="B1063" s="12"/>
      <c r="C1063" s="13"/>
      <c r="D1063" s="13"/>
      <c r="E1063" s="13"/>
      <c r="F1063" s="14"/>
      <c r="G1063" s="11"/>
      <c r="H1063" s="13"/>
      <c r="I1063" s="13"/>
      <c r="J1063" s="13"/>
    </row>
    <row r="1064" spans="1:10" ht="11.25">
      <c r="A1064" s="11"/>
      <c r="B1064" s="12"/>
      <c r="C1064" s="13"/>
      <c r="D1064" s="13"/>
      <c r="E1064" s="13"/>
      <c r="F1064" s="14"/>
      <c r="G1064" s="11"/>
      <c r="H1064" s="13"/>
      <c r="I1064" s="13"/>
      <c r="J1064" s="13"/>
    </row>
    <row r="1065" spans="1:10" ht="11.25">
      <c r="A1065" s="11"/>
      <c r="B1065" s="12"/>
      <c r="C1065" s="13"/>
      <c r="D1065" s="13"/>
      <c r="E1065" s="13"/>
      <c r="F1065" s="14"/>
      <c r="G1065" s="11"/>
      <c r="H1065" s="13"/>
      <c r="I1065" s="13"/>
      <c r="J1065" s="13"/>
    </row>
    <row r="1066" spans="1:10" ht="11.25">
      <c r="A1066" s="11"/>
      <c r="B1066" s="12"/>
      <c r="C1066" s="13"/>
      <c r="D1066" s="13"/>
      <c r="E1066" s="13"/>
      <c r="F1066" s="14"/>
      <c r="G1066" s="11"/>
      <c r="H1066" s="13"/>
      <c r="I1066" s="13"/>
      <c r="J1066" s="13"/>
    </row>
    <row r="1067" spans="1:10" ht="11.25">
      <c r="A1067" s="11"/>
      <c r="B1067" s="12"/>
      <c r="C1067" s="13"/>
      <c r="D1067" s="13"/>
      <c r="E1067" s="13"/>
      <c r="F1067" s="14"/>
      <c r="G1067" s="11"/>
      <c r="H1067" s="13"/>
      <c r="I1067" s="13"/>
      <c r="J1067" s="13"/>
    </row>
    <row r="1068" spans="1:10" ht="11.25">
      <c r="A1068" s="11"/>
      <c r="B1068" s="12"/>
      <c r="C1068" s="13"/>
      <c r="D1068" s="13"/>
      <c r="E1068" s="13"/>
      <c r="F1068" s="14"/>
      <c r="G1068" s="11"/>
      <c r="H1068" s="13"/>
      <c r="I1068" s="13"/>
      <c r="J1068" s="13"/>
    </row>
    <row r="1069" spans="1:10" ht="11.25">
      <c r="A1069" s="11"/>
      <c r="B1069" s="12"/>
      <c r="C1069" s="13"/>
      <c r="D1069" s="13"/>
      <c r="E1069" s="13"/>
      <c r="F1069" s="14"/>
      <c r="G1069" s="11"/>
      <c r="H1069" s="13"/>
      <c r="I1069" s="13"/>
      <c r="J1069" s="13"/>
    </row>
    <row r="1070" spans="1:10" ht="11.25">
      <c r="A1070" s="11"/>
      <c r="B1070" s="12"/>
      <c r="C1070" s="13"/>
      <c r="D1070" s="13"/>
      <c r="E1070" s="13"/>
      <c r="F1070" s="14"/>
      <c r="G1070" s="11"/>
      <c r="H1070" s="13"/>
      <c r="I1070" s="13"/>
      <c r="J1070" s="13"/>
    </row>
    <row r="1071" spans="1:10" ht="11.25">
      <c r="A1071" s="11"/>
      <c r="B1071" s="12"/>
      <c r="C1071" s="13"/>
      <c r="D1071" s="13"/>
      <c r="E1071" s="13"/>
      <c r="F1071" s="14"/>
      <c r="G1071" s="11"/>
      <c r="H1071" s="13"/>
      <c r="I1071" s="13"/>
      <c r="J1071" s="13"/>
    </row>
    <row r="1072" spans="1:10" ht="11.25">
      <c r="A1072" s="11"/>
      <c r="B1072" s="12"/>
      <c r="C1072" s="13"/>
      <c r="D1072" s="13"/>
      <c r="E1072" s="13"/>
      <c r="F1072" s="14"/>
      <c r="G1072" s="11"/>
      <c r="H1072" s="13"/>
      <c r="I1072" s="13"/>
      <c r="J1072" s="13"/>
    </row>
    <row r="1073" spans="1:10" ht="11.25">
      <c r="A1073" s="11"/>
      <c r="B1073" s="12"/>
      <c r="C1073" s="13"/>
      <c r="D1073" s="13"/>
      <c r="E1073" s="13"/>
      <c r="F1073" s="14"/>
      <c r="G1073" s="11"/>
      <c r="H1073" s="13"/>
      <c r="I1073" s="13"/>
      <c r="J1073" s="13"/>
    </row>
    <row r="1074" spans="1:10" ht="11.25">
      <c r="A1074" s="11"/>
      <c r="B1074" s="12"/>
      <c r="C1074" s="13"/>
      <c r="D1074" s="13"/>
      <c r="E1074" s="13"/>
      <c r="F1074" s="14"/>
      <c r="G1074" s="11"/>
      <c r="H1074" s="13"/>
      <c r="I1074" s="13"/>
      <c r="J1074" s="13"/>
    </row>
    <row r="1075" spans="1:10" ht="11.25">
      <c r="A1075" s="11"/>
      <c r="B1075" s="12"/>
      <c r="C1075" s="13"/>
      <c r="D1075" s="13"/>
      <c r="E1075" s="13"/>
      <c r="F1075" s="14"/>
      <c r="G1075" s="11"/>
      <c r="H1075" s="13"/>
      <c r="I1075" s="13"/>
      <c r="J1075" s="13"/>
    </row>
    <row r="1076" spans="1:10" ht="11.25">
      <c r="A1076" s="11"/>
      <c r="B1076" s="12"/>
      <c r="C1076" s="13"/>
      <c r="D1076" s="13"/>
      <c r="E1076" s="13"/>
      <c r="F1076" s="14"/>
      <c r="G1076" s="11"/>
      <c r="H1076" s="13"/>
      <c r="I1076" s="13"/>
      <c r="J1076" s="13"/>
    </row>
    <row r="1077" spans="1:10" ht="11.25">
      <c r="A1077" s="11"/>
      <c r="B1077" s="12"/>
      <c r="C1077" s="13"/>
      <c r="D1077" s="13"/>
      <c r="E1077" s="13"/>
      <c r="F1077" s="14"/>
      <c r="G1077" s="11"/>
      <c r="H1077" s="13"/>
      <c r="I1077" s="13"/>
      <c r="J1077" s="13"/>
    </row>
    <row r="1078" spans="1:10" ht="11.25">
      <c r="A1078" s="11"/>
      <c r="B1078" s="12"/>
      <c r="C1078" s="13"/>
      <c r="D1078" s="13"/>
      <c r="E1078" s="13"/>
      <c r="F1078" s="14"/>
      <c r="G1078" s="11"/>
      <c r="H1078" s="13"/>
      <c r="I1078" s="13"/>
      <c r="J1078" s="13"/>
    </row>
    <row r="1079" spans="1:10" ht="11.25">
      <c r="A1079" s="11"/>
      <c r="B1079" s="12"/>
      <c r="C1079" s="13"/>
      <c r="D1079" s="13"/>
      <c r="E1079" s="13"/>
      <c r="F1079" s="14"/>
      <c r="G1079" s="11"/>
      <c r="H1079" s="13"/>
      <c r="I1079" s="13"/>
      <c r="J1079" s="13"/>
    </row>
    <row r="1080" spans="1:10" ht="11.25">
      <c r="A1080" s="11"/>
      <c r="B1080" s="12"/>
      <c r="C1080" s="13"/>
      <c r="D1080" s="13"/>
      <c r="E1080" s="13"/>
      <c r="F1080" s="14"/>
      <c r="G1080" s="11"/>
      <c r="H1080" s="13"/>
      <c r="I1080" s="13"/>
      <c r="J1080" s="13"/>
    </row>
    <row r="1081" spans="1:10" ht="11.25">
      <c r="A1081" s="11"/>
      <c r="B1081" s="12"/>
      <c r="C1081" s="13"/>
      <c r="D1081" s="13"/>
      <c r="E1081" s="13"/>
      <c r="F1081" s="14"/>
      <c r="G1081" s="11"/>
      <c r="H1081" s="13"/>
      <c r="I1081" s="13"/>
      <c r="J1081" s="13"/>
    </row>
    <row r="1082" spans="1:10" ht="11.25">
      <c r="A1082" s="11"/>
      <c r="B1082" s="12"/>
      <c r="C1082" s="13"/>
      <c r="D1082" s="13"/>
      <c r="E1082" s="13"/>
      <c r="F1082" s="14"/>
      <c r="G1082" s="11"/>
      <c r="H1082" s="13"/>
      <c r="I1082" s="13"/>
      <c r="J1082" s="13"/>
    </row>
    <row r="1083" spans="1:10" ht="11.25">
      <c r="A1083" s="11"/>
      <c r="B1083" s="12"/>
      <c r="C1083" s="13"/>
      <c r="D1083" s="13"/>
      <c r="E1083" s="13"/>
      <c r="F1083" s="14"/>
      <c r="G1083" s="11"/>
      <c r="H1083" s="13"/>
      <c r="I1083" s="13"/>
      <c r="J1083" s="13"/>
    </row>
    <row r="1084" spans="1:10" ht="11.25">
      <c r="A1084" s="11"/>
      <c r="B1084" s="12"/>
      <c r="C1084" s="13"/>
      <c r="D1084" s="13"/>
      <c r="E1084" s="13"/>
      <c r="F1084" s="14"/>
      <c r="G1084" s="11"/>
      <c r="H1084" s="13"/>
      <c r="I1084" s="13"/>
      <c r="J1084" s="13"/>
    </row>
    <row r="1085" spans="1:10" ht="11.25">
      <c r="A1085" s="11"/>
      <c r="B1085" s="12"/>
      <c r="C1085" s="13"/>
      <c r="D1085" s="13"/>
      <c r="E1085" s="13"/>
      <c r="F1085" s="14"/>
      <c r="G1085" s="11"/>
      <c r="H1085" s="13"/>
      <c r="I1085" s="13"/>
      <c r="J1085" s="13"/>
    </row>
    <row r="1086" spans="1:10" ht="11.25">
      <c r="A1086" s="11"/>
      <c r="B1086" s="12"/>
      <c r="C1086" s="13"/>
      <c r="D1086" s="13"/>
      <c r="E1086" s="13"/>
      <c r="F1086" s="14"/>
      <c r="G1086" s="11"/>
      <c r="H1086" s="13"/>
      <c r="I1086" s="13"/>
      <c r="J1086" s="13"/>
    </row>
    <row r="1087" spans="1:10" ht="11.25">
      <c r="A1087" s="11"/>
      <c r="B1087" s="12"/>
      <c r="C1087" s="13"/>
      <c r="D1087" s="13"/>
      <c r="E1087" s="13"/>
      <c r="F1087" s="14"/>
      <c r="G1087" s="11"/>
      <c r="H1087" s="13"/>
      <c r="I1087" s="13"/>
      <c r="J1087" s="13"/>
    </row>
    <row r="1088" spans="1:10" ht="11.25">
      <c r="A1088" s="11"/>
      <c r="B1088" s="12"/>
      <c r="C1088" s="13"/>
      <c r="D1088" s="13"/>
      <c r="E1088" s="13"/>
      <c r="F1088" s="14"/>
      <c r="G1088" s="11"/>
      <c r="H1088" s="13"/>
      <c r="I1088" s="13"/>
      <c r="J1088" s="13"/>
    </row>
    <row r="1089" spans="1:10" ht="11.25">
      <c r="A1089" s="11"/>
      <c r="B1089" s="12"/>
      <c r="C1089" s="13"/>
      <c r="D1089" s="13"/>
      <c r="E1089" s="13"/>
      <c r="F1089" s="14"/>
      <c r="G1089" s="11"/>
      <c r="H1089" s="13"/>
      <c r="I1089" s="13"/>
      <c r="J1089" s="13"/>
    </row>
    <row r="1090" spans="1:10" ht="11.25">
      <c r="A1090" s="11"/>
      <c r="B1090" s="12"/>
      <c r="C1090" s="13"/>
      <c r="D1090" s="13"/>
      <c r="E1090" s="13"/>
      <c r="F1090" s="14"/>
      <c r="G1090" s="11"/>
      <c r="H1090" s="13"/>
      <c r="I1090" s="13"/>
      <c r="J1090" s="13"/>
    </row>
    <row r="1091" spans="1:10" ht="11.25">
      <c r="A1091" s="11"/>
      <c r="B1091" s="12"/>
      <c r="C1091" s="13"/>
      <c r="D1091" s="13"/>
      <c r="E1091" s="13"/>
      <c r="F1091" s="14"/>
      <c r="G1091" s="11"/>
      <c r="H1091" s="13"/>
      <c r="I1091" s="13"/>
      <c r="J1091" s="13"/>
    </row>
    <row r="1092" spans="1:10" ht="11.25">
      <c r="A1092" s="11"/>
      <c r="B1092" s="12"/>
      <c r="C1092" s="13"/>
      <c r="D1092" s="13"/>
      <c r="E1092" s="13"/>
      <c r="F1092" s="14"/>
      <c r="G1092" s="11"/>
      <c r="H1092" s="13"/>
      <c r="I1092" s="13"/>
      <c r="J1092" s="13"/>
    </row>
    <row r="1093" spans="1:10" ht="11.25">
      <c r="A1093" s="11"/>
      <c r="B1093" s="12"/>
      <c r="C1093" s="13"/>
      <c r="D1093" s="13"/>
      <c r="E1093" s="13"/>
      <c r="F1093" s="14"/>
      <c r="G1093" s="11"/>
      <c r="H1093" s="13"/>
      <c r="I1093" s="13"/>
      <c r="J1093" s="13"/>
    </row>
    <row r="1094" spans="1:10" ht="11.25">
      <c r="A1094" s="11"/>
      <c r="B1094" s="12"/>
      <c r="C1094" s="13"/>
      <c r="D1094" s="13"/>
      <c r="E1094" s="13"/>
      <c r="F1094" s="14"/>
      <c r="G1094" s="11"/>
      <c r="H1094" s="13"/>
      <c r="I1094" s="13"/>
      <c r="J1094" s="13"/>
    </row>
    <row r="1095" spans="1:10" ht="11.25">
      <c r="A1095" s="11"/>
      <c r="B1095" s="12"/>
      <c r="C1095" s="13"/>
      <c r="D1095" s="13"/>
      <c r="E1095" s="13"/>
      <c r="F1095" s="14"/>
      <c r="G1095" s="11"/>
      <c r="H1095" s="13"/>
      <c r="I1095" s="13"/>
      <c r="J1095" s="13"/>
    </row>
    <row r="1096" spans="1:10" ht="11.25">
      <c r="A1096" s="11"/>
      <c r="B1096" s="12"/>
      <c r="C1096" s="13"/>
      <c r="D1096" s="13"/>
      <c r="E1096" s="13"/>
      <c r="F1096" s="14"/>
      <c r="G1096" s="11"/>
      <c r="H1096" s="13"/>
      <c r="I1096" s="13"/>
      <c r="J1096" s="13"/>
    </row>
    <row r="1097" spans="1:10" ht="11.25">
      <c r="A1097" s="11"/>
      <c r="B1097" s="12"/>
      <c r="C1097" s="13"/>
      <c r="D1097" s="13"/>
      <c r="E1097" s="13"/>
      <c r="F1097" s="14"/>
      <c r="G1097" s="11"/>
      <c r="H1097" s="13"/>
      <c r="I1097" s="13"/>
      <c r="J1097" s="13"/>
    </row>
    <row r="1098" spans="1:10" ht="11.25">
      <c r="A1098" s="11"/>
      <c r="B1098" s="12"/>
      <c r="C1098" s="13"/>
      <c r="D1098" s="13"/>
      <c r="E1098" s="13"/>
      <c r="F1098" s="14"/>
      <c r="G1098" s="11"/>
      <c r="H1098" s="13"/>
      <c r="I1098" s="13"/>
      <c r="J1098" s="13"/>
    </row>
    <row r="1099" spans="1:10" ht="11.25">
      <c r="A1099" s="11"/>
      <c r="B1099" s="12"/>
      <c r="C1099" s="13"/>
      <c r="D1099" s="13"/>
      <c r="E1099" s="13"/>
      <c r="F1099" s="14"/>
      <c r="G1099" s="11"/>
      <c r="H1099" s="13"/>
      <c r="I1099" s="13"/>
      <c r="J1099" s="13"/>
    </row>
    <row r="1100" spans="1:10" ht="11.25">
      <c r="A1100" s="11"/>
      <c r="B1100" s="12"/>
      <c r="C1100" s="13"/>
      <c r="D1100" s="13"/>
      <c r="E1100" s="13"/>
      <c r="F1100" s="14"/>
      <c r="G1100" s="11"/>
      <c r="H1100" s="13"/>
      <c r="I1100" s="13"/>
      <c r="J1100" s="13"/>
    </row>
    <row r="1101" spans="1:10" ht="11.25">
      <c r="A1101" s="11"/>
      <c r="B1101" s="12"/>
      <c r="C1101" s="13"/>
      <c r="D1101" s="13"/>
      <c r="E1101" s="13"/>
      <c r="F1101" s="14"/>
      <c r="G1101" s="11"/>
      <c r="H1101" s="13"/>
      <c r="I1101" s="13"/>
      <c r="J1101" s="13"/>
    </row>
    <row r="1102" spans="1:10" ht="11.25">
      <c r="A1102" s="11"/>
      <c r="B1102" s="12"/>
      <c r="C1102" s="13"/>
      <c r="D1102" s="13"/>
      <c r="E1102" s="13"/>
      <c r="F1102" s="14"/>
      <c r="G1102" s="11"/>
      <c r="H1102" s="13"/>
      <c r="I1102" s="13"/>
      <c r="J1102" s="13"/>
    </row>
    <row r="1103" spans="1:10" ht="11.25">
      <c r="A1103" s="11"/>
      <c r="B1103" s="12"/>
      <c r="C1103" s="13"/>
      <c r="D1103" s="13"/>
      <c r="E1103" s="13"/>
      <c r="F1103" s="14"/>
      <c r="G1103" s="11"/>
      <c r="H1103" s="13"/>
      <c r="I1103" s="13"/>
      <c r="J1103" s="13"/>
    </row>
    <row r="1104" spans="1:10" ht="11.25">
      <c r="A1104" s="11"/>
      <c r="B1104" s="12"/>
      <c r="C1104" s="13"/>
      <c r="D1104" s="13"/>
      <c r="E1104" s="13"/>
      <c r="F1104" s="14"/>
      <c r="G1104" s="11"/>
      <c r="H1104" s="13"/>
      <c r="I1104" s="13"/>
      <c r="J1104" s="13"/>
    </row>
    <row r="1105" spans="1:10" ht="11.25">
      <c r="A1105" s="11"/>
      <c r="B1105" s="12"/>
      <c r="C1105" s="13"/>
      <c r="D1105" s="13"/>
      <c r="E1105" s="13"/>
      <c r="F1105" s="14"/>
      <c r="G1105" s="11"/>
      <c r="H1105" s="13"/>
      <c r="I1105" s="13"/>
      <c r="J1105" s="13"/>
    </row>
    <row r="1106" spans="1:10" ht="11.25">
      <c r="A1106" s="11"/>
      <c r="B1106" s="12"/>
      <c r="C1106" s="13"/>
      <c r="D1106" s="13"/>
      <c r="E1106" s="13"/>
      <c r="F1106" s="14"/>
      <c r="G1106" s="11"/>
      <c r="H1106" s="13"/>
      <c r="I1106" s="13"/>
      <c r="J1106" s="13"/>
    </row>
    <row r="1107" spans="1:10" ht="11.25">
      <c r="A1107" s="11"/>
      <c r="B1107" s="12"/>
      <c r="C1107" s="13"/>
      <c r="D1107" s="13"/>
      <c r="E1107" s="13"/>
      <c r="F1107" s="14"/>
      <c r="G1107" s="11"/>
      <c r="H1107" s="13"/>
      <c r="I1107" s="13"/>
      <c r="J1107" s="13"/>
    </row>
    <row r="1108" spans="1:10" ht="11.25">
      <c r="A1108" s="11"/>
      <c r="B1108" s="12"/>
      <c r="C1108" s="13"/>
      <c r="D1108" s="13"/>
      <c r="E1108" s="13"/>
      <c r="F1108" s="14"/>
      <c r="G1108" s="11"/>
      <c r="H1108" s="13"/>
      <c r="I1108" s="13"/>
      <c r="J1108" s="13"/>
    </row>
    <row r="1109" spans="1:10" ht="11.25">
      <c r="A1109" s="11"/>
      <c r="B1109" s="12"/>
      <c r="C1109" s="13"/>
      <c r="D1109" s="13"/>
      <c r="E1109" s="13"/>
      <c r="F1109" s="14"/>
      <c r="G1109" s="11"/>
      <c r="H1109" s="13"/>
      <c r="I1109" s="13"/>
      <c r="J1109" s="13"/>
    </row>
    <row r="1110" spans="1:10" ht="11.25">
      <c r="A1110" s="11"/>
      <c r="B1110" s="12"/>
      <c r="C1110" s="13"/>
      <c r="D1110" s="13"/>
      <c r="E1110" s="13"/>
      <c r="F1110" s="14"/>
      <c r="G1110" s="11"/>
      <c r="H1110" s="13"/>
      <c r="I1110" s="13"/>
      <c r="J1110" s="13"/>
    </row>
    <row r="1111" spans="1:10" ht="11.25">
      <c r="A1111" s="11"/>
      <c r="B1111" s="12"/>
      <c r="C1111" s="13"/>
      <c r="D1111" s="13"/>
      <c r="E1111" s="13"/>
      <c r="F1111" s="14"/>
      <c r="G1111" s="11"/>
      <c r="H1111" s="13"/>
      <c r="I1111" s="13"/>
      <c r="J1111" s="13"/>
    </row>
    <row r="1112" spans="1:10" ht="11.25">
      <c r="A1112" s="11"/>
      <c r="B1112" s="12"/>
      <c r="C1112" s="13"/>
      <c r="D1112" s="13"/>
      <c r="E1112" s="13"/>
      <c r="F1112" s="14"/>
      <c r="G1112" s="11"/>
      <c r="H1112" s="13"/>
      <c r="I1112" s="13"/>
      <c r="J1112" s="13"/>
    </row>
    <row r="1113" spans="1:10" ht="11.25">
      <c r="A1113" s="11"/>
      <c r="B1113" s="12"/>
      <c r="C1113" s="13"/>
      <c r="D1113" s="13"/>
      <c r="E1113" s="13"/>
      <c r="F1113" s="14"/>
      <c r="G1113" s="11"/>
      <c r="H1113" s="13"/>
      <c r="I1113" s="13"/>
      <c r="J1113" s="13"/>
    </row>
    <row r="1114" spans="1:10" ht="11.25">
      <c r="A1114" s="11"/>
      <c r="B1114" s="12"/>
      <c r="C1114" s="13"/>
      <c r="D1114" s="13"/>
      <c r="E1114" s="13"/>
      <c r="F1114" s="14"/>
      <c r="G1114" s="11"/>
      <c r="H1114" s="13"/>
      <c r="I1114" s="13"/>
      <c r="J1114" s="13"/>
    </row>
    <row r="1115" spans="1:10" ht="11.25">
      <c r="A1115" s="11"/>
      <c r="B1115" s="12"/>
      <c r="C1115" s="13"/>
      <c r="D1115" s="13"/>
      <c r="E1115" s="13"/>
      <c r="F1115" s="14"/>
      <c r="G1115" s="11"/>
      <c r="H1115" s="13"/>
      <c r="I1115" s="13"/>
      <c r="J1115" s="13"/>
    </row>
    <row r="1116" spans="1:10" ht="11.25">
      <c r="A1116" s="11"/>
      <c r="B1116" s="12"/>
      <c r="C1116" s="13"/>
      <c r="D1116" s="13"/>
      <c r="E1116" s="13"/>
      <c r="F1116" s="14"/>
      <c r="G1116" s="11"/>
      <c r="H1116" s="13"/>
      <c r="I1116" s="13"/>
      <c r="J1116" s="13"/>
    </row>
    <row r="1117" spans="1:10" ht="11.25">
      <c r="A1117" s="11"/>
      <c r="B1117" s="12"/>
      <c r="C1117" s="13"/>
      <c r="D1117" s="13"/>
      <c r="E1117" s="13"/>
      <c r="F1117" s="14"/>
      <c r="G1117" s="11"/>
      <c r="H1117" s="13"/>
      <c r="I1117" s="13"/>
      <c r="J1117" s="13"/>
    </row>
    <row r="1118" spans="1:10" ht="11.25">
      <c r="A1118" s="11"/>
      <c r="B1118" s="12"/>
      <c r="C1118" s="13"/>
      <c r="D1118" s="13"/>
      <c r="E1118" s="13"/>
      <c r="F1118" s="14"/>
      <c r="G1118" s="11"/>
      <c r="H1118" s="13"/>
      <c r="I1118" s="13"/>
      <c r="J1118" s="13"/>
    </row>
    <row r="1119" spans="1:10" ht="11.25">
      <c r="A1119" s="11"/>
      <c r="B1119" s="12"/>
      <c r="C1119" s="13"/>
      <c r="D1119" s="13"/>
      <c r="E1119" s="13"/>
      <c r="F1119" s="14"/>
      <c r="G1119" s="11"/>
      <c r="H1119" s="13"/>
      <c r="I1119" s="13"/>
      <c r="J1119" s="13"/>
    </row>
    <row r="1120" spans="1:10" ht="11.25">
      <c r="A1120" s="11"/>
      <c r="B1120" s="12"/>
      <c r="C1120" s="13"/>
      <c r="D1120" s="13"/>
      <c r="E1120" s="13"/>
      <c r="F1120" s="14"/>
      <c r="G1120" s="11"/>
      <c r="H1120" s="13"/>
      <c r="I1120" s="13"/>
      <c r="J1120" s="13"/>
    </row>
    <row r="1121" spans="1:7" ht="11.25">
      <c r="A1121" s="11"/>
      <c r="B1121" s="12"/>
      <c r="C1121" s="13"/>
      <c r="D1121" s="13"/>
      <c r="E1121" s="13"/>
      <c r="F1121" s="14"/>
      <c r="G1121" s="11"/>
    </row>
    <row r="1122" spans="1:7" ht="11.25">
      <c r="A1122" s="11"/>
      <c r="B1122" s="12"/>
      <c r="C1122" s="13"/>
      <c r="D1122" s="13"/>
      <c r="E1122" s="13"/>
      <c r="F1122" s="14"/>
      <c r="G1122" s="11"/>
    </row>
  </sheetData>
  <autoFilter ref="A11:J822"/>
  <mergeCells count="6">
    <mergeCell ref="G8:J8"/>
    <mergeCell ref="C3:G3"/>
    <mergeCell ref="C4:G4"/>
    <mergeCell ref="C5:G5"/>
    <mergeCell ref="C6:G6"/>
    <mergeCell ref="C7:G7"/>
  </mergeCells>
  <hyperlinks>
    <hyperlink ref="B40" r:id="rId1" display="http://www.profprokat.ru/content/view/731/76/"/>
    <hyperlink ref="B470" r:id="rId2" display="http://www.profprokat.ru/content/view/466/72/"/>
    <hyperlink ref="B521" r:id="rId3" display="http://www.profprokat.ru/content/view/655/75/"/>
    <hyperlink ref="B571" r:id="rId4" display="http://www.profprokat.ru/content/view/148/52/"/>
    <hyperlink ref="B807" r:id="rId5" display="http://www.profprokat.ru/content/view/347/8/"/>
    <hyperlink ref="B432" r:id="rId6" display="http://www.profprokat.ru/content/view/483/72/"/>
    <hyperlink ref="B541" r:id="rId7" display="12ХН3А"/>
    <hyperlink ref="B95" r:id="rId8" display="15Х25Т"/>
    <hyperlink ref="B526" r:id="rId9" display="http://www.profprokat.ru/content/view/655/75/"/>
    <hyperlink ref="B513" r:id="rId10" display="http://www.profprokat.ru/content/view/242/8/"/>
    <hyperlink ref="B371" r:id="rId11" display="12Х15Г9НД(AISI 201)"/>
    <hyperlink ref="B741" r:id="rId12" display="9ХФ"/>
    <hyperlink ref="C7:G7" r:id="rId13" display="склад: г.Москва, ул.Грайвороновская,дом.25,стр.5"/>
    <hyperlink ref="B420" r:id="rId14" display="15Х12Н2МВФАБ-Ш(ЭП517ш)"/>
    <hyperlink ref="B104" r:id="rId15" display="45Х14Н14В2М(ЭИ-69)"/>
    <hyperlink ref="B46" r:id="rId16" display="13Х11Н2В2МФ-Ш(ЭИ-961Ш)"/>
    <hyperlink ref="B478" r:id="rId17" display="Х12Ф1"/>
    <hyperlink ref="B592" r:id="rId18" display="20895/АРМКО"/>
    <hyperlink ref="B817" r:id="rId19" display="http://www.profprokat.ru/content/view/181/52/"/>
    <hyperlink ref="B734" r:id="rId20" display="10Х17Н13М2Т(ЭИ-448)"/>
    <hyperlink ref="B584" r:id="rId21" display="http://www.profprokat.ru/content/view/181/52/"/>
    <hyperlink ref="B507" r:id="rId22" display="ст.45"/>
    <hyperlink ref="B683" r:id="rId23" display="ст.45"/>
    <hyperlink ref="B508" r:id="rId24" display="ст.45"/>
    <hyperlink ref="B509" r:id="rId25" display="ст.45"/>
    <hyperlink ref="B510" r:id="rId26" display="ст.45"/>
    <hyperlink ref="B511" r:id="rId27" display="ст.45"/>
    <hyperlink ref="B442" r:id="rId28" display="У8А"/>
    <hyperlink ref="B448" r:id="rId29" display="http://www.profprokat.ru/content/view/391/72/"/>
    <hyperlink ref="B482" r:id="rId30" display="5ХНМ"/>
    <hyperlink ref="B449" r:id="rId31" display="http://www.profprokat.ru/content/view/483/72/"/>
    <hyperlink ref="B767" r:id="rId32" display="http://www.profprokat.ru/content/view/483/72/"/>
    <hyperlink ref="B768" r:id="rId33" display="http://www.profprokat.ru/content/view/483/72/"/>
    <hyperlink ref="B689" r:id="rId34" display="http://www.profprokat.ru/content/view/148/52/"/>
    <hyperlink ref="B658" r:id="rId35" display="http://www.profprokat.ru/content/view/692/75/"/>
    <hyperlink ref="B74" r:id="rId36" display="http://www.profprokat.ru/content/view/658/75/"/>
    <hyperlink ref="B92" r:id="rId37" display="http://www.profprokat.ru/content/view/658/75/"/>
    <hyperlink ref="B105" r:id="rId38" display="http://www.profprokat.ru/content/view/658/75/"/>
    <hyperlink ref="B201" r:id="rId39" display="http://www.profprokat.ru/content/view/681/75/"/>
    <hyperlink ref="B740" r:id="rId40" display="10880/АРМКО"/>
    <hyperlink ref="B799" r:id="rId41" display="http://www.profprokat.ru/content/view/837/74/"/>
    <hyperlink ref="B702" r:id="rId42" display="http://www.profprokat.ru/content/view/242/8/"/>
    <hyperlink ref="B36" r:id="rId43" display="30Х13(ЭЖ-3)"/>
    <hyperlink ref="B582" r:id="rId44" display="http://www.profprokat.ru/content/view/181/52/"/>
    <hyperlink ref="B692" r:id="rId45" display="http://www.profprokat.ru/content/view/242/8/"/>
    <hyperlink ref="B14" r:id="rId46" display="http://www.profprokat.ru/content/view/1315/76/"/>
    <hyperlink ref="B19" r:id="rId47" display="http://www.profprokat.ru/content/view/1315/76/"/>
    <hyperlink ref="B121" r:id="rId48" display="http://www.profprokat.ru/content/view/694/75/"/>
    <hyperlink ref="B739" r:id="rId49" display="10880/АРМКО"/>
    <hyperlink ref="B742" r:id="rId50" display="65Г"/>
    <hyperlink ref="B694" r:id="rId51" display="http://www.profprokat.ru/content/view/242/8/"/>
    <hyperlink ref="B695" r:id="rId52" display="http://www.profprokat.ru/content/view/242/8/"/>
    <hyperlink ref="B697" r:id="rId53" display="http://www.profprokat.ru/content/view/242/8/"/>
    <hyperlink ref="B268" r:id="rId54" display="http://www.profprokat.ru/content/view/676/75/"/>
    <hyperlink ref="B477" r:id="rId55" display="http://www.profprokat.ru/content/view/396/72/"/>
    <hyperlink ref="B803" r:id="rId56" display="Х12МФ"/>
    <hyperlink ref="B338" r:id="rId57" display="http://www.profprokat.ru/content/view/1317/75/"/>
    <hyperlink ref="B444" r:id="rId58" display="http://www.profprokat.ru/content/view/396/72/"/>
    <hyperlink ref="B451" r:id="rId59" display="http://www.profprokat.ru/content/view/396/72/"/>
    <hyperlink ref="B415" r:id="rId60" display="http://www.profprokat.ru/content/view/169/52/"/>
    <hyperlink ref="B94" r:id="rId61" display="http://www.profprokat.ru/content/view/1315/76/"/>
    <hyperlink ref="B142" r:id="rId62" display="http://www.profprokat.ru/content/view/1315/76/"/>
    <hyperlink ref="B693" r:id="rId63" display="http://www.profprokat.ru/content/view/215/8/"/>
    <hyperlink ref="B699" r:id="rId64" display="http://www.profprokat.ru/content/view/215/8/"/>
    <hyperlink ref="B709" r:id="rId65" display="http://www.profprokat.ru/content/view/215/8/"/>
    <hyperlink ref="B711" r:id="rId66" display="http://www.profprokat.ru/content/view/215/8/"/>
    <hyperlink ref="B712" r:id="rId67" display="http://www.profprokat.ru/content/view/215/8/"/>
    <hyperlink ref="B446" r:id="rId68" display="http://www.profprokat.ru/content/view/391/72/"/>
    <hyperlink ref="B284" r:id="rId69" display="08Х15Н5Д2Т(ЭП410У-Ш)"/>
    <hyperlink ref="B301" r:id="rId70" display="08Х15Н5Д2Т(ЭП410У-Ш)"/>
    <hyperlink ref="B761" r:id="rId71" display="08Х15Н5Д2Т(ЭП410У-Ш)"/>
    <hyperlink ref="B760" r:id="rId72" display="08Х15Н5Д2Т(ЭП410У-Ш)"/>
    <hyperlink ref="B798" r:id="rId73" display="08Х15Н5Д2Т(ЭП410У-Ш)"/>
    <hyperlink ref="B44" r:id="rId74" display="http://www.profprokat.ru/content/view/1316/76/"/>
    <hyperlink ref="B585" r:id="rId75" display="http://www.profprokat.ru/content/view/181/52/"/>
    <hyperlink ref="B376" r:id="rId76" display="http://www.profprokat.ru/content/view/725/76/"/>
    <hyperlink ref="B687" r:id="rId77" display="http://www.profprokat.ru/content/view/242/8/"/>
    <hyperlink ref="B110" r:id="rId78" display="08Х17Т(ЭИ645,0Х17Т)"/>
    <hyperlink ref="B155" r:id="rId79" display="08Х17Т(ЭИ645,0Х17Т)"/>
    <hyperlink ref="B183" r:id="rId80" display="08Х17Т(ЭИ645,0Х17Т)"/>
    <hyperlink ref="B344" r:id="rId81" display="08Х15Н5Д2Т(ЭП410У-Ш)"/>
    <hyperlink ref="B191" r:id="rId82" display="08Х15Н5Д2Т(ЭП410У-Ш)"/>
    <hyperlink ref="B525" r:id="rId83" display="http://www.profprokat.ru/content/view/277/8/"/>
    <hyperlink ref="B476" r:id="rId84" display="http://www.profprokat.ru/content/view/403/72/"/>
    <hyperlink ref="B528" r:id="rId85" display="http://www.profprokat.ru/content/view/242/8/"/>
    <hyperlink ref="B698" r:id="rId86" display="12ХН3А"/>
    <hyperlink ref="B765" r:id="rId87" display="http://www.profprokat.ru/content/view/473/72/"/>
    <hyperlink ref="B493" r:id="rId88" display="http://www.profprokat.ru/content/view/396/72/"/>
    <hyperlink ref="B486" r:id="rId89" display="http://www.profprokat.ru/content/view/396/72/"/>
    <hyperlink ref="B468" r:id="rId90" display="http://www.profprokat.ru/content/view/396/72/"/>
    <hyperlink ref="B488" r:id="rId91" display="http://www.profprokat.ru/content/view/455/72/"/>
    <hyperlink ref="B473" r:id="rId92" display="http://www.profprokat.ru/content/view/455/72/"/>
    <hyperlink ref="B461" r:id="rId93" display="http://www.profprokat.ru/content/view/455/72/"/>
    <hyperlink ref="B453" r:id="rId94" display="http://www.profprokat.ru/content/view/455/72/"/>
    <hyperlink ref="B811" r:id="rId95" display="http://www.profprokat.ru/content/view/242/8/"/>
    <hyperlink ref="B560" r:id="rId96" display="http://www.profprokat.ru/content/view/148/52/"/>
    <hyperlink ref="B795" r:id="rId97" display="12Х18Н10Т"/>
    <hyperlink ref="B342" r:id="rId98" display="12Х18Н10Т"/>
    <hyperlink ref="B357" r:id="rId99" display="12Х18Н10Т"/>
    <hyperlink ref="B380" r:id="rId100" display="12Х18Н10Т"/>
    <hyperlink ref="B524" r:id="rId101" display="http://www.profprokat.ru/content/view/220/8/"/>
    <hyperlink ref="B518" r:id="rId102" display="http://www.profprokat.ru/content/view/242/8/"/>
    <hyperlink ref="B788" r:id="rId103" display="http://www.profprokat.ru/content/view/148/52/"/>
    <hyperlink ref="B790" r:id="rId104" display="http://www.profprokat.ru/content/view/148/52/"/>
    <hyperlink ref="B543" r:id="rId105" display="http://www.profprokat.ru/content/view/706/75/"/>
    <hyperlink ref="B576" r:id="rId106" display="http://www.profprokat.ru/content/view/181/52/"/>
    <hyperlink ref="B786" r:id="rId107" display="http://www.profprokat.ru/content/view/241/8/"/>
    <hyperlink ref="B770" r:id="rId108" display="http://www.profprokat.ru/content/view/958/70/"/>
    <hyperlink ref="B771" r:id="rId109" display="http://www.profprokat.ru/content/view/958/70/"/>
    <hyperlink ref="B772" r:id="rId110" display="http://www.profprokat.ru/content/view/958/70/"/>
    <hyperlink ref="B773" r:id="rId111" display="http://www.profprokat.ru/content/view/958/70/"/>
    <hyperlink ref="B774" r:id="rId112" display="http://www.profprokat.ru/content/view/958/70/"/>
    <hyperlink ref="B690" r:id="rId113" display="http://www.profprokat.ru/content/view/347/8/"/>
    <hyperlink ref="B787" r:id="rId114" display="http://www.profprokat.ru/content/view/148/52/"/>
    <hyperlink ref="B598" r:id="rId115" display="10880/АРМКО"/>
    <hyperlink ref="B533" r:id="rId116" display="http://www.profprokat.ru/content/view/711/75/"/>
    <hyperlink ref="B561" r:id="rId117" display="http://www.profprokat.ru/content/view/711/75/"/>
    <hyperlink ref="B552" r:id="rId118" display="http://www.profprokat.ru/content/view/220/8/"/>
    <hyperlink ref="B450" r:id="rId119" display="http://www.profprokat.ru/content/view/182/8/"/>
    <hyperlink ref="B535" r:id="rId120" display="http://www.profprokat.ru/content/view/210/8/"/>
    <hyperlink ref="B559" r:id="rId121" tooltip="Сталь 12Х1МФ жаропрочная низколегированная/конструкционная теплоустойчивая" display="http://www.profprokat.ru/content/view/648/75/"/>
    <hyperlink ref="B43" r:id="rId122" display="08Х15Н5Д2Т(ЭП410У-Ш)"/>
    <hyperlink ref="B776" r:id="rId123" display="http://www.profprokat.ru/content/view/692/75/"/>
    <hyperlink ref="B777" r:id="rId124" display="08Х15Н5Д2Т(ЭП410У-Ш)"/>
    <hyperlink ref="B813" r:id="rId125" display="http://www.profprokat.ru/content/view/197/8/"/>
    <hyperlink ref="B519" r:id="rId126" display="http://www.profprokat.ru/content/view/706/75/"/>
    <hyperlink ref="B522" r:id="rId127" display="http://www.profprokat.ru/content/view/706/75/"/>
    <hyperlink ref="B512" r:id="rId128" display="http://www.profprokat.ru/content/view/215/8/"/>
    <hyperlink ref="B514" r:id="rId129" display="http://www.profprokat.ru/content/view/215/8/"/>
    <hyperlink ref="B515" r:id="rId130" display="http://www.profprokat.ru/content/view/215/8/"/>
    <hyperlink ref="B516" r:id="rId131" display="http://www.profprokat.ru/content/view/215/8/"/>
    <hyperlink ref="B517" r:id="rId132" display="http://www.profprokat.ru/content/view/215/8/"/>
    <hyperlink ref="B192" r:id="rId133" display="http://www.profprokat.ru/content/view/1315/76/"/>
    <hyperlink ref="B219" r:id="rId134" display="http://www.profprokat.ru/content/view/725/76/"/>
    <hyperlink ref="B139" r:id="rId135" display="http://www.profprokat.ru/content/view/725/76/"/>
    <hyperlink ref="B147" r:id="rId136" display="http://www.profprokat.ru/content/view/725/76/"/>
    <hyperlink ref="B546" r:id="rId137" display="http://www.profprokat.ru/content/view/197/8/"/>
    <hyperlink ref="B96" r:id="rId138" display="http://www.profprokat.ru/content/view/731/76/"/>
    <hyperlink ref="B733" r:id="rId139" display="http://www.profprokat.ru/content/view/729/76/"/>
    <hyperlink ref="B101" r:id="rId140" display="http://www.profprokat.ru/content/view/735/76/"/>
    <hyperlink ref="B359" r:id="rId141" display="http://www.profprokat.ru/content/view/735/76/"/>
    <hyperlink ref="B56" r:id="rId142" display="http://www.profprokat.ru/content/view/1315/76/"/>
    <hyperlink ref="B234" r:id="rId143" display="http://www.profprokat.ru/content/view/1315/76/"/>
    <hyperlink ref="B602" r:id="rId144" display="http://www.profprokat.ru/content/view/879/74/"/>
    <hyperlink ref="B705" r:id="rId145" display="http://www.profprokat.ru/content/view/242/8/"/>
    <hyperlink ref="B706" r:id="rId146" display="http://www.profprokat.ru/content/view/242/8/"/>
    <hyperlink ref="B208" r:id="rId147" display="http://www.profprokat.ru/content/view/731/76/"/>
    <hyperlink ref="B390" r:id="rId148" display="08Х15Н5Д2Т(ЭП410У-Ш)"/>
    <hyperlink ref="B435" r:id="rId149" display="http://www.profprokat.ru/content/view/490/72/"/>
    <hyperlink ref="B467" r:id="rId150" display="http://www.profprokat.ru/content/view/490/72/"/>
    <hyperlink ref="B29" r:id="rId151" display="http://www.profprokat.ru/content/view/1315/76/"/>
    <hyperlink ref="B21" r:id="rId152" display="http://www.profprokat.ru/content/view/1315/76/"/>
    <hyperlink ref="B812" r:id="rId153" display="ст.45"/>
    <hyperlink ref="B497" r:id="rId154" display="Х12МФ"/>
    <hyperlink ref="B743" r:id="rId155" display="http://www.profprokat.ru/content/view/242/8/"/>
    <hyperlink ref="B131" r:id="rId156" display="09Х16Н4Б(ЭП-56)"/>
    <hyperlink ref="B248" r:id="rId157" display="http://www.profprokat.ru/content/view/731/76/"/>
    <hyperlink ref="B753" r:id="rId158" display="ст.45"/>
    <hyperlink ref="B596" r:id="rId159" display="10895/АРМКО"/>
    <hyperlink ref="B612" r:id="rId160" display="10895/АРМКО"/>
    <hyperlink ref="B537" r:id="rId161" display="http://www.profprokat.ru/content/view/708/75/"/>
    <hyperlink ref="B545" r:id="rId162" tooltip="Сталь 10.Сталь конструкционная углеродистая качественная." display="http://www.profprokat.ru/content/view/160/52/"/>
    <hyperlink ref="B588" r:id="rId163" display="http://www.profprokat.ru/content/view/181/52/"/>
    <hyperlink ref="B580" r:id="rId164" display="http://www.profprokat.ru/content/view/181/52/"/>
    <hyperlink ref="B747" r:id="rId165" display="ст3сп"/>
    <hyperlink ref="B523" r:id="rId166" display="65Г"/>
    <hyperlink ref="B318" r:id="rId167" display="20Х23Н18(ЭИ-417)"/>
    <hyperlink ref="B573" r:id="rId168" display="http://www.profprokat.ru/content/view/199/8/"/>
    <hyperlink ref="B701" r:id="rId169" display="http://www.profprokat.ru/content/view/242/8/"/>
    <hyperlink ref="B700" r:id="rId170" display="http://www.profprokat.ru/content/view/242/8/"/>
    <hyperlink ref="B738" r:id="rId171" display="10880/АРМКО"/>
    <hyperlink ref="B569" r:id="rId172" display="http://www.profprokat.ru/content/view/197/8/"/>
    <hyperlink ref="B54" r:id="rId173" display="20Х23Н18(ЭИ-417)"/>
    <hyperlink ref="B252" r:id="rId174" display="08Х15Н5Д2Т(ЭП410У-Ш)"/>
    <hyperlink ref="B12" r:id="rId175" display="12Х18Н10Т"/>
    <hyperlink ref="B557" r:id="rId176" display="http://www.profprokat.ru/content/view/1323/8/"/>
    <hyperlink ref="B312" r:id="rId177" display="08Х15Н5Д2Т(ЭП410У-Ш)"/>
    <hyperlink ref="B171" r:id="rId178" display="http://www.profprokat.ru/content/view/1322/75/"/>
    <hyperlink ref="B349" r:id="rId179" display="12Х18Н10Т"/>
    <hyperlink ref="B300" r:id="rId180" display="http://www.profprokat.ru/content/view/746/76/"/>
    <hyperlink ref="B379" r:id="rId181" display="http://www.profprokat.ru/content/view/1304/75/"/>
    <hyperlink ref="B597" r:id="rId182" display="10895/АРМКО"/>
    <hyperlink ref="B295" r:id="rId183" display="12Х18Н10Т"/>
    <hyperlink ref="B16" r:id="rId184" display="12Х18Н10Т"/>
    <hyperlink ref="B100" r:id="rId185" display="12Х18Н10Т"/>
    <hyperlink ref="B819" r:id="rId186" display="12Х18Н10Т"/>
    <hyperlink ref="B118" r:id="rId187" display="12Х18Н10Т"/>
    <hyperlink ref="B180" r:id="rId188" display="12Х18Н10Т"/>
    <hyperlink ref="B310" r:id="rId189" display="12Х18Н10Т"/>
    <hyperlink ref="B323" r:id="rId190" display="12Х18Н10Т"/>
    <hyperlink ref="B358" r:id="rId191" display="12Х18Н10Т"/>
    <hyperlink ref="B818" r:id="rId192" display="12Х18Н10Т"/>
    <hyperlink ref="B626" r:id="rId193" display="12Х18Н10Т"/>
    <hyperlink ref="B629" r:id="rId194" display="12Х18Н10Т"/>
    <hyperlink ref="B634" r:id="rId195" display="12Х18Н10Т"/>
    <hyperlink ref="B641" r:id="rId196" display="12Х18Н10Т"/>
    <hyperlink ref="B648" r:id="rId197" display="12Х18Н10Т"/>
    <hyperlink ref="B651" r:id="rId198" display="12Х18Н10Т"/>
    <hyperlink ref="B655" r:id="rId199" display="12Х18Н10Т"/>
    <hyperlink ref="B657" r:id="rId200" display="12Х18Н10Т"/>
    <hyperlink ref="B663" r:id="rId201" display="12Х18Н10Т"/>
    <hyperlink ref="B666" r:id="rId202" display="12Х18Н10Т"/>
    <hyperlink ref="B671" r:id="rId203" display="12Х18Н10Т"/>
    <hyperlink ref="B676" r:id="rId204" display="12Х18Н10Т"/>
    <hyperlink ref="B796" r:id="rId205" display="12Х18Н10Т"/>
    <hyperlink ref="B149" r:id="rId206" display="25Х13Н2(ЭИ 474)"/>
    <hyperlink ref="B822" r:id="rId207" display="12Х18Н10Т"/>
    <hyperlink ref="B326" r:id="rId208" display="08Х15Н5Д2Т(ЭП410У-Ш)"/>
    <hyperlink ref="B637" r:id="rId209" display="12Х18Н10Т"/>
    <hyperlink ref="B64" r:id="rId210" display="http://www.profprokat.ru/content/view/692/75/"/>
    <hyperlink ref="B27" r:id="rId211" display="40Х13"/>
    <hyperlink ref="B50" r:id="rId212" display="40Х13"/>
    <hyperlink ref="B797" r:id="rId213" display="http://www.profprokat.ru/content/view/776/76/"/>
    <hyperlink ref="B72" r:id="rId214" display="http://www.profprokat.ru/content/view/692/75/"/>
    <hyperlink ref="B372" r:id="rId215" display="http://www.profprokat.ru/content/view/169/52/"/>
    <hyperlink ref="B34" r:id="rId216" display="http://www.profprokat.ru/content/view/766/76/"/>
    <hyperlink ref="B45" r:id="rId217" display="http://www.profprokat.ru/content/view/766/76/"/>
    <hyperlink ref="B67" r:id="rId218" display="http://www.profprokat.ru/content/view/766/76/"/>
    <hyperlink ref="B107" r:id="rId219" display="http://www.profprokat.ru/content/view/766/76/"/>
    <hyperlink ref="B114" r:id="rId220" display="http://www.profprokat.ru/content/view/766/76/"/>
    <hyperlink ref="B290" r:id="rId221" display="http://www.profprokat.ru/content/view/766/76/"/>
    <hyperlink ref="B627" r:id="rId222" display="http://www.profprokat.ru/content/view/766/76/"/>
    <hyperlink ref="B632" r:id="rId223" display="http://www.profprokat.ru/content/view/766/76/"/>
    <hyperlink ref="B644" r:id="rId224" display="http://www.profprokat.ru/content/view/766/76/"/>
    <hyperlink ref="B726" r:id="rId225" display="http://www.profprokat.ru/content/view/766/76/"/>
    <hyperlink ref="B730" r:id="rId226" display="http://www.profprokat.ru/content/view/766/76/"/>
    <hyperlink ref="B230" r:id="rId227" display="http://www.profprokat.ru/content/view/169/52/"/>
    <hyperlink ref="B132" r:id="rId228" display="http://www.profprokat.ru/content/view/169/52/"/>
    <hyperlink ref="B327" r:id="rId229" display="http://www.profprokat.ru/content/view/169/52/"/>
    <hyperlink ref="B63" r:id="rId230" display="12Х18Н10Т"/>
    <hyperlink ref="B688" r:id="rId231" display="http://www.profprokat.ru/content/view/242/8/"/>
    <hyperlink ref="B707" r:id="rId232" display="http://www.profprokat.ru/content/view/242/8/"/>
    <hyperlink ref="B204" r:id="rId233" display="08Х15Н5Д2Т(ЭП410У-Ш)"/>
    <hyperlink ref="B154" r:id="rId234" display="http://www.profprokat.ru/content/view/770/76/"/>
    <hyperlink ref="B356" r:id="rId235" display="http://www.profprokat.ru/content/view/1304/75/"/>
    <hyperlink ref="B465" r:id="rId236" display="http://www.profprokat.ru/content/view/1324/72/"/>
    <hyperlink ref="B463" r:id="rId237" display="http://www.profprokat.ru/content/view/1325/72/"/>
    <hyperlink ref="B455" r:id="rId238" display="http://www.profprokat.ru/content/view/1326/72/"/>
    <hyperlink ref="B369" r:id="rId239" display="http://www.profprokat.ru/content/view/1304/75/"/>
    <hyperlink ref="B506" r:id="rId240" display="http://www.profprokat.ru/content/view/482/72/"/>
    <hyperlink ref="B505" r:id="rId241" display="http://www.profprokat.ru/content/view/482/72/"/>
    <hyperlink ref="B49" r:id="rId242" display="http://www.profprokat.ru/content/view/725/76/"/>
    <hyperlink ref="B315" r:id="rId243" display="http://www.profprokat.ru/content/view/725/76/"/>
    <hyperlink ref="B722" r:id="rId244" display="http://www.profprokat.ru/content/view/766/76/"/>
    <hyperlink ref="B769" r:id="rId245" display="10880/АРМКО"/>
    <hyperlink ref="B791" r:id="rId246" display="http://www.profprokat.ru/content/view/242/8/"/>
    <hyperlink ref="B792" r:id="rId247" display="http://www.profprokat.ru/content/view/242/8/"/>
    <hyperlink ref="B745" r:id="rId248" display="17Г1С"/>
    <hyperlink ref="B590" r:id="rId249" display="http://www.profprokat.ru/content/view/181/52/"/>
    <hyperlink ref="B591" r:id="rId250" display="http://www.profprokat.ru/content/view/181/52/"/>
    <hyperlink ref="B235" r:id="rId251" display="http://www.profprokat.ru/content/view/731/76/"/>
    <hyperlink ref="B445" r:id="rId252" display="http://www.profprokat.ru/content/view/396/72/"/>
    <hyperlink ref="B447" r:id="rId253" display="http://www.profprokat.ru/content/view/396/72/"/>
    <hyperlink ref="B471" r:id="rId254" display="Х12Ф1"/>
    <hyperlink ref="B401" r:id="rId255" display="http://www.profprokat.ru/content/view/1304/75/"/>
    <hyperlink ref="B365" r:id="rId256" display="08Х15Н5Д2Т(ЭП410У-Ш)"/>
    <hyperlink ref="B383" r:id="rId257" display="08Х15Н5Д2Т(ЭП410У-Ш)"/>
    <hyperlink ref="B175" r:id="rId258" display="15Х25Т"/>
    <hyperlink ref="B124" r:id="rId259" display="07Х16Н6-Ш(ЭП-288)"/>
    <hyperlink ref="B160" r:id="rId260" display="07Х16Н6-Ш(ЭП-288)"/>
    <hyperlink ref="B186" r:id="rId261" display="07Х16Н6-Ш(ЭП-288)"/>
    <hyperlink ref="B244" r:id="rId262" display="07Х16Н6-Ш(ЭП-288)"/>
    <hyperlink ref="B328" r:id="rId263" display="07Х16Н6-Ш(ЭП-288)"/>
    <hyperlink ref="B405" r:id="rId264" display="07Х16Н6-Ш(ЭП-288)"/>
    <hyperlink ref="B421" r:id="rId265" display="07Х16Н6-Ш(ЭП-288)"/>
    <hyperlink ref="B422" r:id="rId266" display="07Х16Н6-Ш(ЭП-288)"/>
    <hyperlink ref="B424" r:id="rId267" display="07Х16Н6-Ш(ЭП-288)"/>
    <hyperlink ref="B635" r:id="rId268" display="07Х16Н6-Ш(ЭП-288)"/>
    <hyperlink ref="B231" r:id="rId269" display="07Х16Н6-Ш(ЭП-288)"/>
    <hyperlink ref="B214" r:id="rId270" display="09Х16Н4Б(ЭП-56)"/>
    <hyperlink ref="B716" r:id="rId271" display="09Х16Н4Б(ЭП-56)"/>
    <hyperlink ref="B414" r:id="rId272" display="http://www.profprokat.ru/content/view/742/76/"/>
    <hyperlink ref="B425" r:id="rId273" display="http://www.profprokat.ru/content/view/742/76/"/>
    <hyperlink ref="B426" r:id="rId274" display="http://www.profprokat.ru/content/view/742/76/"/>
    <hyperlink ref="B428" r:id="rId275" display="http://www.profprokat.ru/content/view/742/76/"/>
    <hyperlink ref="B182" r:id="rId276" display="http://www.profprokat.ru/content/view/694/75/"/>
    <hyperlink ref="B213" r:id="rId277" display="http://www.profprokat.ru/content/view/694/75/"/>
    <hyperlink ref="B241" r:id="rId278" display="http://www.profprokat.ru/content/view/694/75/"/>
    <hyperlink ref="B274" r:id="rId279" display="http://www.profprokat.ru/content/view/694/75/"/>
    <hyperlink ref="B343" r:id="rId280" display="http://www.profprokat.ru/content/view/694/75/"/>
    <hyperlink ref="B382" r:id="rId281" display="http://www.profprokat.ru/content/view/694/75/"/>
    <hyperlink ref="B397" r:id="rId282" display="http://www.profprokat.ru/content/view/694/75/"/>
    <hyperlink ref="B404" r:id="rId283" display="http://www.profprokat.ru/content/view/694/75/"/>
    <hyperlink ref="B298" r:id="rId284" display="http://www.profprokat.ru/content/view/693/75/"/>
    <hyperlink ref="B325" r:id="rId285" display="http://www.profprokat.ru/content/view/693/75/"/>
    <hyperlink ref="B360" r:id="rId286" display="http://www.profprokat.ru/content/view/693/75/"/>
    <hyperlink ref="B381" r:id="rId287" display="http://www.profprokat.ru/content/view/693/75/"/>
    <hyperlink ref="B403" r:id="rId288" display="http://www.profprokat.ru/content/view/693/75/"/>
    <hyperlink ref="B567" r:id="rId289" tooltip="Сталь 12Х1МФ жаропрочная низколегированная/конструкционная теплоустойчивая" display="http://www.profprokat.ru/content/view/648/75/"/>
    <hyperlink ref="B538" r:id="rId290" display="http://www.profprokat.ru/content/view/293/8/"/>
    <hyperlink ref="B61" r:id="rId291" display="13Х11Н2В2МФ-Ш(ЭИ-961Ш)"/>
    <hyperlink ref="B89" r:id="rId292" display="13Х11Н2В2МФ-Ш(ЭИ-961Ш)"/>
    <hyperlink ref="B211" r:id="rId293" display="13Х11Н2В2МФ-Ш(ЭИ-961Ш)"/>
    <hyperlink ref="B225" r:id="rId294" display="13Х11Н2В2МФ-Ш(ЭИ-961Ш)"/>
    <hyperlink ref="B269" r:id="rId295" display="13Х11Н2В2МФ-Ш(ЭИ-961Ш)"/>
    <hyperlink ref="B293" r:id="rId296" display="13Х11Н2В2МФ-Ш(ЭИ-961Ш)"/>
    <hyperlink ref="B321" r:id="rId297" display="13Х11Н2В2МФ-Ш(ЭИ-961Ш)"/>
    <hyperlink ref="B631" r:id="rId298" display="13Х11Н2В2МФ-Ш(ЭИ-961Ш)"/>
    <hyperlink ref="B60" r:id="rId299" display="14Х17Н2(ЭИ-268)"/>
    <hyperlink ref="B71" r:id="rId300" display="14Х17Н2(ЭИ-268)"/>
    <hyperlink ref="B79" r:id="rId301" display="14Х17Н2(ЭИ-268)"/>
    <hyperlink ref="B87" r:id="rId302" display="14Х17Н2(ЭИ-268)"/>
    <hyperlink ref="B116" r:id="rId303" display="14Х17Н2(ЭИ-268)"/>
    <hyperlink ref="B177" r:id="rId304" display="14Х17Н2(ЭИ-268)"/>
    <hyperlink ref="B200" r:id="rId305" display="14Х17Н2(ЭИ-268)"/>
    <hyperlink ref="B229" r:id="rId306" display="14Х17Н2(ЭИ-268)"/>
    <hyperlink ref="B259" r:id="rId307" display="14Х17Н2(ЭИ-268)"/>
    <hyperlink ref="B355" r:id="rId308" display="14Х17Н2(ЭИ-268)"/>
    <hyperlink ref="B378" r:id="rId309" display="14Х17Н2(ЭИ-268)"/>
    <hyperlink ref="B387" r:id="rId310" display="14Х17Н2(ЭИ-268)"/>
    <hyperlink ref="B400" r:id="rId311" display="14Х17Н2(ЭИ-268)"/>
    <hyperlink ref="B408" r:id="rId312" display="14Х17Н2(ЭИ-268)"/>
    <hyperlink ref="B417" r:id="rId313" display="14Х17Н2(ЭИ-268)"/>
    <hyperlink ref="B621" r:id="rId314" display="14Х17Н2(ЭИ-268)"/>
    <hyperlink ref="B625" r:id="rId315" display="14Х17Н2(ЭИ-268)"/>
    <hyperlink ref="B628" r:id="rId316" display="14Х17Н2(ЭИ-268)"/>
    <hyperlink ref="B630" r:id="rId317" display="14Х17Н2(ЭИ-268)"/>
    <hyperlink ref="B646" r:id="rId318" display="14Х17Н2(ЭИ-268)"/>
    <hyperlink ref="B649" r:id="rId319" display="14Х17Н2(ЭИ-268)"/>
    <hyperlink ref="B661" r:id="rId320" display="14Х17Н2(ЭИ-268)"/>
    <hyperlink ref="B668" r:id="rId321" display="14Х17Н2(ЭИ-268)"/>
    <hyperlink ref="B670" r:id="rId322" display="14Х17Н2(ЭИ-268)"/>
    <hyperlink ref="B674" r:id="rId323" display="14Х17Н2(ЭИ-268)"/>
    <hyperlink ref="B677" r:id="rId324" display="14Х17Н2(ЭИ-268)"/>
    <hyperlink ref="B723" r:id="rId325" display="14Х17Н2(ЭИ-268)"/>
    <hyperlink ref="B725" r:id="rId326" display="14Х17Н2(ЭИ-268)"/>
    <hyperlink ref="B731" r:id="rId327" display="14Х17Н2(ЭИ-268)"/>
    <hyperlink ref="B308" r:id="rId328" display="http://www.profprokat.ru/content/view/731/76/"/>
    <hyperlink ref="B775" r:id="rId329" display="http://www.profprokat.ru/content/view/731/76/"/>
    <hyperlink ref="B266" r:id="rId330" display="http://www.profprokat.ru/content/view/731/76/"/>
    <hyperlink ref="B319" r:id="rId331" display="http://www.profprokat.ru/content/view/731/76/"/>
    <hyperlink ref="B330" r:id="rId332" display="http://www.profprokat.ru/content/view/731/76/"/>
    <hyperlink ref="B368" r:id="rId333" display="http://www.profprokat.ru/content/view/731/76/"/>
    <hyperlink ref="B394" r:id="rId334" display="http://www.profprokat.ru/content/view/731/76/"/>
    <hyperlink ref="B399" r:id="rId335" display="http://www.profprokat.ru/content/view/731/76/"/>
    <hyperlink ref="B407" r:id="rId336" display="http://www.profprokat.ru/content/view/731/76/"/>
    <hyperlink ref="B645" r:id="rId337" display="http://www.profprokat.ru/content/view/731/76/"/>
    <hyperlink ref="B673" r:id="rId338" display="http://www.profprokat.ru/content/view/731/76/"/>
    <hyperlink ref="B718" r:id="rId339" display="http://www.profprokat.ru/content/view/731/76/"/>
    <hyperlink ref="B353" r:id="rId340" display="20Х23Н18(ЭИ-417)"/>
    <hyperlink ref="B714" r:id="rId341" display="20Х23Н18(ЭИ-417)"/>
    <hyperlink ref="B724" r:id="rId342" display="20Х23Н18(ЭИ-417)"/>
    <hyperlink ref="B729" r:id="rId343" display="20Х23Н18(ЭИ-417)"/>
    <hyperlink ref="B778" r:id="rId344" display="20Х23Н18(ЭИ-417)"/>
    <hyperlink ref="B174" r:id="rId345" display="20Х23Н18(ЭИ-417)"/>
    <hyperlink ref="B207" r:id="rId346" display="20Х23Н18(ЭИ-417)"/>
    <hyperlink ref="B13" r:id="rId347" display="25Х13Н2(ЭИ 474)"/>
    <hyperlink ref="B15" r:id="rId348" display="25Х13Н2(ЭИ 474)"/>
    <hyperlink ref="B73" r:id="rId349" display="25Х13Н2(ЭИ 474)"/>
    <hyperlink ref="B86" r:id="rId350" display="25Х13Н2(ЭИ 474)"/>
    <hyperlink ref="B93" r:id="rId351" display="25Х13Н2(ЭИ 474)"/>
    <hyperlink ref="B106" r:id="rId352" display="25Х13Н2(ЭИ 474)"/>
    <hyperlink ref="B206" r:id="rId353" display="25Х13Н2(ЭИ 474)"/>
    <hyperlink ref="B233" r:id="rId354" display="25Х13Н2(ЭИ 474)"/>
    <hyperlink ref="B262" r:id="rId355" display="25Х13Н2(ЭИ 474)"/>
    <hyperlink ref="B352" r:id="rId356" display="25Х13Н2(ЭИ 474)"/>
    <hyperlink ref="B170" r:id="rId357" display="45Х14Н14В2М(ЭИ-69)"/>
    <hyperlink ref="B652" r:id="rId358" display="45Х14Н14В2М(ЭИ-69)"/>
    <hyperlink ref="B656" r:id="rId359" display="45Х14Н14В2М(ЭИ-69)"/>
    <hyperlink ref="B737" r:id="rId360" display="10880/АРМКО"/>
    <hyperlink ref="B475" r:id="rId361" display="http://www.profprokat.ru/content/view/490/72/"/>
    <hyperlink ref="B607" r:id="rId362" display="10895/АРМКО"/>
    <hyperlink ref="B57" r:id="rId363" display="http://www.profprokat.ru/content/view/1315/76/"/>
    <hyperlink ref="B68" r:id="rId364" display="http://www.profprokat.ru/content/view/1315/76/"/>
    <hyperlink ref="B265" r:id="rId365" display="20Х23Н18(ЭИ-417)"/>
    <hyperlink ref="B272" r:id="rId366" display="12Х18Н10Т"/>
    <hyperlink ref="B653" r:id="rId367" display="14Х17Н2(ЭИ-268)"/>
    <hyperlink ref="B570" r:id="rId368" display="http://www.profprokat.ru/content/view/241/8/"/>
    <hyperlink ref="B664" r:id="rId369" display="http://www.profprokat.ru/content/view/731/76/"/>
    <hyperlink ref="B500" r:id="rId370" display="http://www.profprokat.ru/content/view/471/72/"/>
    <hyperlink ref="B299" r:id="rId371" display="09Х16Н4Б(ЭП-56)"/>
    <hyperlink ref="B350" r:id="rId372" display="09Х16Н4Б(ЭП-56)"/>
    <hyperlink ref="B75" r:id="rId373" display="http://www.profprokat.ru/content/view/1321/76/"/>
    <hyperlink ref="B766" r:id="rId374" display="http://www.profprokat.ru/content/view/455/72/"/>
    <hyperlink ref="B429" r:id="rId375" display="07Х16Н6-Ш(ЭП-288)"/>
    <hyperlink ref="B732" r:id="rId376" display="http://www.profprokat.ru/content/view/729/76/"/>
    <hyperlink ref="B553" r:id="rId377" display="http://www.profprokat.ru/content/view/1323/8/"/>
    <hyperlink ref="B370" r:id="rId378" display="12Х18Н10Т"/>
    <hyperlink ref="B642" r:id="rId379" display="14Х17Н2(ЭИ-268)"/>
    <hyperlink ref="B685" r:id="rId380" display="http://www.profprokat.ru/content/view/347/8/"/>
    <hyperlink ref="B581" r:id="rId381" display="http://www.profprokat.ru/content/view/181/52/"/>
    <hyperlink ref="B245" r:id="rId382" display="http://www.profprokat.ru/content/view/1331/76/"/>
    <hyperlink ref="B279" r:id="rId383" display="http://www.profprokat.ru/content/view/1304/75/"/>
    <hyperlink ref="B579" r:id="rId384" display="http://www.profprokat.ru/content/view/181/52/"/>
    <hyperlink ref="B558" r:id="rId385" display="http://www.profprokat.ru/content/view/208/8/"/>
    <hyperlink ref="B18" r:id="rId386" display="14Х17Н2(ЭИ-268)"/>
    <hyperlink ref="B501" r:id="rId387" display="http://www.profprokat.ru/content/view/473/72/"/>
    <hyperlink ref="B502" r:id="rId388" display="http://www.profprokat.ru/content/view/396/72/"/>
    <hyperlink ref="B176" r:id="rId389" display="14Х17Н2(ЭИ-268)"/>
    <hyperlink ref="B494" r:id="rId390" display="Х12МФ"/>
    <hyperlink ref="B374" r:id="rId391" display="http://www.profprokat.ru/content/view/1300/76/"/>
    <hyperlink ref="B416" r:id="rId392" display="07Х16Н6-Ш(ЭП-288)"/>
    <hyperlink ref="B804" r:id="rId393" display="http://www.profprokat.ru/content/view/403/72/"/>
    <hyperlink ref="B209" r:id="rId394" display="http://www.profprokat.ru/content/view/731/76/"/>
    <hyperlink ref="B236" r:id="rId395" display="14Х17Н2(ЭИ-268)"/>
    <hyperlink ref="B340" r:id="rId396" display="http://www.profprokat.ru/content/view/1304/75/"/>
    <hyperlink ref="B650" r:id="rId397" display="14Х17Н2(ЭИ-268)"/>
    <hyperlink ref="B443" r:id="rId398" display="http://www.profprokat.ru/content/view/490/72/"/>
    <hyperlink ref="B669" r:id="rId399" display="12Х18Н10Т"/>
    <hyperlink ref="B237" r:id="rId400" display="http://www.profprokat.ru/content/view/1304/75/"/>
    <hyperlink ref="B586" r:id="rId401" display="http://www.profprokat.ru/content/view/181/52/"/>
    <hyperlink ref="B667" r:id="rId402" display="http://www.profprokat.ru/content/view/766/76/"/>
    <hyperlink ref="B672" r:id="rId403" display="http://www.profprokat.ru/content/view/766/76/"/>
    <hyperlink ref="B464" r:id="rId404" display="Х12МФ"/>
    <hyperlink ref="B530" r:id="rId405" display="http://www.profprokat.ru/content/view/276/8/"/>
    <hyperlink ref="B549" r:id="rId406" display="http://www.profprokat.ru/content/view/277/8/"/>
    <hyperlink ref="B532" r:id="rId407" display="http://www.profprokat.ru/content/view/277/8/"/>
    <hyperlink ref="B373" r:id="rId408" display="07Х16Н6-Ш(ЭП-288)"/>
    <hyperlink ref="B117" r:id="rId409" display="http://www.profprokat.ru/content/view/1304/75/"/>
    <hyperlink ref="B212" r:id="rId410" display="http://www.profprokat.ru/content/view/692/75/"/>
    <hyperlink ref="B153" r:id="rId411" display="13Х11Н2В2МФ-Ш(ЭИ-961Ш)"/>
    <hyperlink ref="B223" r:id="rId412" display="15Х12Н2МВФАБ-Ш(ЭП517ш)"/>
    <hyperlink ref="B168" r:id="rId413" display="http://www.profprokat.ru/content/view/692/75/"/>
    <hyperlink ref="B348" r:id="rId414" display="13Х11Н2В2МФ-Ш(ЭИ-961Ш)"/>
    <hyperlink ref="B402" r:id="rId415" display="13Х11Н2В2МФ-Ш(ЭИ-961Ш)"/>
    <hyperlink ref="B166" r:id="rId416" display="13Х11Н2В2МФ-Ш(ЭИ-961Ш)"/>
    <hyperlink ref="B662" r:id="rId417" display="13Х11Н2В2МФ-Ш(ЭИ-961Ш)"/>
    <hyperlink ref="B640" r:id="rId418" display="13Х11Н2В2МФ-Ш(ЭИ-961Ш)"/>
    <hyperlink ref="B785" r:id="rId419" display="12Х18Н10Т"/>
    <hyperlink ref="B780" r:id="rId420" display="08Х15Н5Д2Т(ЭП410У-Ш)"/>
    <hyperlink ref="B781" r:id="rId421" display="08Х15Н5Д2Т(ЭП410У-Ш)"/>
    <hyperlink ref="B784" r:id="rId422" display="08Х15Н5Д2Т(ЭП410У-Ш)"/>
    <hyperlink ref="B764" r:id="rId423" display="Х12МФ"/>
    <hyperlink ref="B498" r:id="rId424" display="http://www.profprokat.ru/content/view/483/72/"/>
    <hyperlink ref="B600" r:id="rId425" display="10895/АРМКО"/>
    <hyperlink ref="B633" r:id="rId426" display="14Х17Н2(ЭИ-268)"/>
    <hyperlink ref="B696" r:id="rId427" display="http://www.profprokat.ru/content/view/242/8/"/>
    <hyperlink ref="B82" r:id="rId428" display="http://www.profprokat.ru/content/view/1304/75/"/>
    <hyperlink ref="B145" r:id="rId429" display="http://www.profprokat.ru/content/view/1304/75/"/>
    <hyperlink ref="B159" r:id="rId430" display="http://www.profprokat.ru/content/view/1304/75/"/>
    <hyperlink ref="B638" r:id="rId431" display="14Х17Н2(ЭИ-268)"/>
    <hyperlink ref="B665" r:id="rId432" display="14Х17Н2(ЭИ-268)"/>
    <hyperlink ref="B782" r:id="rId433" display="08Х15Н5Д2Т(ЭП410У-Ш)"/>
    <hyperlink ref="B779" r:id="rId434" display="08Х15Н5Д2Т(ЭП410У-Ш)"/>
    <hyperlink ref="B157" r:id="rId435" display="http://www.profprokat.ru/content/view/658/75/"/>
    <hyperlink ref="B271" r:id="rId436" display="http://www.profprokat.ru/content/view/770/76/"/>
    <hyperlink ref="B578" r:id="rId437" display="http://www.profprokat.ru/content/view/181/52/"/>
    <hyperlink ref="B20" r:id="rId438" display="http://www.profprokat.ru/content/view/725/76/"/>
    <hyperlink ref="B26" r:id="rId439" display="http://www.profprokat.ru/content/view/725/76/"/>
    <hyperlink ref="B165" r:id="rId440" display="http://www.profprokat.ru/content/view/1304/75/"/>
    <hyperlink ref="B190" r:id="rId441" display="http://www.profprokat.ru/content/view/1304/75/"/>
    <hyperlink ref="B194" r:id="rId442" display="http://www.profprokat.ru/content/view/1304/75/"/>
    <hyperlink ref="B203" r:id="rId443" display="http://www.profprokat.ru/content/view/1304/75/"/>
    <hyperlink ref="B210" r:id="rId444" display="http://www.profprokat.ru/content/view/1304/75/"/>
    <hyperlink ref="B55" r:id="rId445" display="http://www.profprokat.ru/content/view/766/76/"/>
    <hyperlink ref="B452" r:id="rId446" display="Х12МФ"/>
    <hyperlink ref="B686" r:id="rId447" display="http://www.profprokat.ru/content/view/242/8/"/>
    <hyperlink ref="B647" r:id="rId448" display="14Х17Н2(ЭИ-268)"/>
    <hyperlink ref="B439" r:id="rId449" display="У8А"/>
    <hyperlink ref="B572" r:id="rId450" display="http://www.profprokat.ru/content/view/203/52/"/>
    <hyperlink ref="B757" r:id="rId451" display="ст.45"/>
    <hyperlink ref="B150" r:id="rId452" display="http://www.profprokat.ru/content/view/731/76/"/>
    <hyperlink ref="B314" r:id="rId453" display="http://www.profprokat.ru/content/view/1300/76/"/>
    <hyperlink ref="B329" r:id="rId454" display="http://www.profprokat.ru/content/view/1300/76/"/>
    <hyperlink ref="B406" r:id="rId455" display="http://www.profprokat.ru/content/view/1300/76/"/>
    <hyperlink ref="B282" r:id="rId456" display="http://www.profprokat.ru/content/view/1304/75/"/>
    <hyperlink ref="B270" r:id="rId457" display="http://www.profprokat.ru/content/view/733/76/"/>
    <hyperlink ref="B294" r:id="rId458" display="http://www.profprokat.ru/content/view/733/76/"/>
    <hyperlink ref="B322" r:id="rId459" display="http://www.profprokat.ru/content/view/733/76/"/>
    <hyperlink ref="B411" r:id="rId460" display="07Х16Н6-Ш(ЭП-288)"/>
    <hyperlink ref="B809" r:id="rId461" display="http://www.profprokat.ru/content/view/242/8/"/>
    <hyperlink ref="B520" r:id="rId462" display="http://www.profprokat.ru/content/view/242/8/"/>
    <hyperlink ref="B472" r:id="rId463" display="Х12МФ"/>
    <hyperlink ref="B736" r:id="rId464" display="10880/АРМКО"/>
    <hyperlink ref="B363" r:id="rId465" display="http://www.profprokat.ru/content/view/1320/75/"/>
    <hyperlink ref="B332" r:id="rId466" display="13Х11Н2В2МФ-Ш(ЭИ-961Ш)"/>
    <hyperlink ref="B122" r:id="rId467" display="08Х15Н5Д2Т(ЭП410У-Ш)"/>
    <hyperlink ref="B39" r:id="rId468" display="http://www.profprokat.ru/content/view/1315/76/"/>
    <hyperlink ref="B684" r:id="rId469" display="http://www.profprokat.ru/content/view/242/8/"/>
    <hyperlink ref="B187" r:id="rId470" display="http://www.profprokat.ru/content/view/1300/76/"/>
    <hyperlink ref="B752" r:id="rId471" display="ст.45"/>
    <hyperlink ref="B339" r:id="rId472" display="14Х17Н2(ЭИ-268)"/>
    <hyperlink ref="B115" r:id="rId473" display="http://www.profprokat.ru/content/view/731/76/"/>
    <hyperlink ref="B197" r:id="rId474" display="http://www.profprokat.ru/content/view/169/52/"/>
    <hyperlink ref="B539" r:id="rId475" display="http://www.profprokat.ru/content/view/268/8/"/>
    <hyperlink ref="B548" r:id="rId476" display="http://www.profprokat.ru/content/view/268/8/"/>
    <hyperlink ref="B622" r:id="rId477" display="12Х18Н10Т"/>
    <hyperlink ref="B251" r:id="rId478" display="http://www.profprokat.ru/content/view/692/75/"/>
    <hyperlink ref="B32" r:id="rId479" display="40Х13"/>
    <hyperlink ref="B362" r:id="rId480" display="07Х16Н6-Ш(ЭП-288)"/>
    <hyperlink ref="B555" r:id="rId481" display="ст.45"/>
    <hyperlink ref="B391" r:id="rId482" display="07Х16Н6-Ш(ЭП-288)"/>
    <hyperlink ref="B226" r:id="rId483" display="08Х15Н5Д2Т(ЭП410У-Ш)"/>
    <hyperlink ref="B88" r:id="rId484" display="http://www.profprokat.ru/content/view/1304/75/"/>
    <hyperlink ref="B78" r:id="rId485" display="http://www.profprokat.ru/content/view/731/76/"/>
    <hyperlink ref="B735" r:id="rId486" display="40Х13"/>
    <hyperlink ref="B17" r:id="rId487" display="http://www.profprokat.ru/content/view/725/76/"/>
    <hyperlink ref="B593" r:id="rId488" display="10895/АРМКО"/>
    <hyperlink ref="B289" r:id="rId489" display="20Х23Н18(ЭИ-417)"/>
    <hyperlink ref="B481" r:id="rId490" display="http://www.profprokat.ru/content/view/483/72/"/>
    <hyperlink ref="B681" r:id="rId491" display="12Х18Н10Т"/>
    <hyperlink ref="B577" r:id="rId492" display="http://www.profprokat.ru/content/view/181/52/"/>
    <hyperlink ref="B267" r:id="rId493" display="14Х17Н2(ЭИ-268)"/>
    <hyperlink ref="B320" r:id="rId494" display="14Х17Н2(ЭИ-268)"/>
    <hyperlink ref="B77" r:id="rId495" display="http://www.profprokat.ru/content/view/766/76/"/>
    <hyperlink ref="B604" r:id="rId496" display="10880/АРМКО"/>
    <hyperlink ref="B608" r:id="rId497" display="http://www.profprokat.ru/content/view/872/74/"/>
    <hyperlink ref="B276" r:id="rId498" display="08Х15Н5Д2Т(ЭП410У-Ш)"/>
    <hyperlink ref="B720" r:id="rId499" display="20Х23Н18(ЭИ-417)"/>
    <hyperlink ref="B275" r:id="rId500" display="http://www.profprokat.ru/content/view/744/76/"/>
    <hyperlink ref="B459" r:id="rId501" display="http://www.profprokat.ru/content/view/396/72/"/>
    <hyperlink ref="B620" r:id="rId502" display="10880/АРМКО"/>
    <hyperlink ref="B462" r:id="rId503" display="http://www.profprokat.ru/content/view/483/72/"/>
    <hyperlink ref="B457" r:id="rId504" display="http://www.profprokat.ru/content/view/483/72/"/>
    <hyperlink ref="B466" r:id="rId505" display="http://www.profprokat.ru/content/view/483/72/"/>
    <hyperlink ref="B258" r:id="rId506" display="07Х16Н6-Ш(ЭП-288)"/>
    <hyperlink ref="B495" r:id="rId507" display="http://www.profprokat.ru/content/view/463/72/"/>
    <hyperlink ref="B750" r:id="rId508" display="http://www.profprokat.ru/content/view/148/52/"/>
    <hyperlink ref="B643" r:id="rId509" display="12Х18Н10Т"/>
    <hyperlink ref="B563" r:id="rId510" display="http://www.profprokat.ru/content/view/277/8/"/>
    <hyperlink ref="B568" r:id="rId511" display="http://www.profprokat.ru/content/view/277/8/"/>
    <hyperlink ref="B499" r:id="rId512" display="http://www.profprokat.ru/content/view/466/72/"/>
    <hyperlink ref="B354" r:id="rId513" display="15Х12Н2МВФАБ-Ш(ЭП517ш)"/>
    <hyperlink ref="B238" r:id="rId514" display="13Х11Н2В2МФ-Ш(ЭИ-961Ш)"/>
    <hyperlink ref="B216" r:id="rId515" display="07Х16Н6-Ш(ЭП-288)"/>
    <hyperlink ref="B469" r:id="rId516" display="http://www.profprokat.ru/content/view/483/72/"/>
    <hyperlink ref="B277" r:id="rId517" display="07Х16Н6-Ш(ЭП-288)"/>
    <hyperlink ref="B303" r:id="rId518" display="07Х16Н6-Ш(ЭП-288)"/>
    <hyperlink ref="B47" r:id="rId519" display="14Х17Н2(ЭИ-268)"/>
    <hyperlink ref="B58" r:id="rId520" display="14Х17Н2(ЭИ-268)"/>
    <hyperlink ref="B748" r:id="rId521" display="ст.45"/>
    <hyperlink ref="B345" r:id="rId522" display="07Х16Н6-Ш(ЭП-288)"/>
    <hyperlink ref="B615" r:id="rId523" display="10895/АРМКО"/>
    <hyperlink ref="B616" r:id="rId524" display="10895/АРМКО"/>
    <hyperlink ref="B503" r:id="rId525" display="Х12МФ"/>
    <hyperlink ref="B504" r:id="rId526" display="http://www.profprokat.ru/content/view/463/72/"/>
    <hyperlink ref="B556" r:id="rId527" display="http://www.profprokat.ru/content/view/207/8/"/>
    <hyperlink ref="B531" r:id="rId528" display="http://www.profprokat.ru/content/view/314/8/"/>
    <hyperlink ref="B529" r:id="rId529" display="http://www.profprokat.ru/content/view/314/8/"/>
    <hyperlink ref="B389" r:id="rId530" display="13Х11Н2В2МФ-Ш(ЭИ-961Ш)"/>
    <hyperlink ref="B659" r:id="rId531" display="09Х16Н4Б(ЭП-56)"/>
    <hyperlink ref="B660" r:id="rId532" display="http://www.profprokat.ru/content/view/731/76/"/>
    <hyperlink ref="B48" r:id="rId533" display="http://www.profprokat.ru/content/view/692/75/"/>
    <hyperlink ref="B83" r:id="rId534" display="http://www.profprokat.ru/content/view/692/75/"/>
    <hyperlink ref="B173" r:id="rId535" display="25Х13Н2(ЭИ 474)"/>
    <hyperlink ref="B317" r:id="rId536" display="25Х13Н2(ЭИ 474)"/>
    <hyperlink ref="B682" r:id="rId537" display="12Х18Н10Т"/>
    <hyperlink ref="B52" r:id="rId538" display="25Х13Н2(ЭИ 474)"/>
    <hyperlink ref="B41" r:id="rId539" display="14Х17Н2(ЭИ-268)"/>
    <hyperlink ref="B103" r:id="rId540" display="07Х16Н6-Ш(ЭП-288)"/>
    <hyperlink ref="B255" r:id="rId541" display="25Х13Н2(ЭИ 474)"/>
    <hyperlink ref="B263" r:id="rId542" display="25Х13Н2(ЭИ 474)"/>
    <hyperlink ref="B65" r:id="rId543" display="07Х16Н6-Ш(ЭП-288)"/>
    <hyperlink ref="B456" r:id="rId544" display="Х12МФ"/>
    <hyperlink ref="B460" r:id="rId545" display="Х12МФ"/>
    <hyperlink ref="B227" r:id="rId546" display="07Х16Н6-Ш(ЭП-288)"/>
    <hyperlink ref="B296" r:id="rId547" display="12Х18Н10Т"/>
    <hyperlink ref="B333" r:id="rId548" display="12Х18Н10Т"/>
    <hyperlink ref="B366" r:id="rId549" display="http://www.profprokat.ru/content/view/1321/76/"/>
    <hyperlink ref="B113" r:id="rId550" display="25Х13Н2(ЭИ 474)"/>
    <hyperlink ref="B610" r:id="rId551" display="10895/АРМКО"/>
    <hyperlink ref="B611" r:id="rId552" display="10895/АРМКО"/>
    <hyperlink ref="B613" r:id="rId553" display="10895/АРМКО"/>
    <hyperlink ref="B599" r:id="rId554" display="10895/АРМКО"/>
    <hyperlink ref="B595" r:id="rId555" display="10895/АРМКО"/>
    <hyperlink ref="B483" r:id="rId556" display="http://www.profprokat.ru/content/view/463/72/"/>
    <hyperlink ref="B754" r:id="rId557" display="http://www.profprokat.ru/content/view/203/52/"/>
    <hyperlink ref="B575" r:id="rId558" display="http://www.profprokat.ru/content/view/1332/50/"/>
    <hyperlink ref="B257" r:id="rId559" display="http://www.profprokat.ru/content/view/1304/75/"/>
    <hyperlink ref="B240" r:id="rId560" display="http://www.profprokat.ru/content/view/770/76/"/>
    <hyperlink ref="B614" r:id="rId561" display="10880/АРМКО"/>
    <hyperlink ref="B820" r:id="rId562" display="08Х15Н5Д2Т(ЭП410У-Ш)"/>
    <hyperlink ref="B623" r:id="rId563" display="14Х17Н2(ЭИ-268)"/>
    <hyperlink ref="B691" r:id="rId564" display="http://www.profprokat.ru/content/view/242/8/"/>
    <hyperlink ref="B704" r:id="rId565" display="http://www.profprokat.ru/content/view/242/8/"/>
    <hyperlink ref="B710" r:id="rId566" display="http://www.profprokat.ru/content/view/242/8/"/>
    <hyperlink ref="B789" r:id="rId567" display="http://www.profprokat.ru/content/view/148/52/"/>
    <hyperlink ref="B195" r:id="rId568" display="http://www.profprokat.ru/content/view/692/75/"/>
    <hyperlink ref="B285" r:id="rId569" display="http://www.profprokat.ru/content/view/1300/76/"/>
    <hyperlink ref="B392" r:id="rId570" display="http://www.profprokat.ru/content/view/1300/76/"/>
    <hyperlink ref="B23" r:id="rId571" display="http://www.profprokat.ru/content/view/766/76/"/>
    <hyperlink ref="B143" r:id="rId572" display="14Х17Н2(ЭИ-268)"/>
    <hyperlink ref="B151" r:id="rId573" display="14Х17Н2(ЭИ-268)"/>
    <hyperlink ref="B164" r:id="rId574" display="14Х17Н2(ЭИ-268)"/>
    <hyperlink ref="B178" r:id="rId575" display="14Х17Н2(ЭИ-268)"/>
    <hyperlink ref="B189" r:id="rId576" display="14Х17Н2(ЭИ-268)"/>
    <hyperlink ref="B202" r:id="rId577" display="14Х17Н2(ЭИ-268)"/>
    <hyperlink ref="B639" r:id="rId578" display="14Х17Н2(ЭИ-268)"/>
    <hyperlink ref="B654" r:id="rId579" display="14Х17Н2(ЭИ-268)"/>
    <hyperlink ref="B675" r:id="rId580" display="14Х17Н2(ЭИ-268)"/>
    <hyperlink ref="B31" r:id="rId581" display="14Х17Н2(ЭИ-268)"/>
    <hyperlink ref="B250" r:id="rId582" display="13Х11Н2В2МФ-Ш(ЭИ-961Ш)"/>
    <hyperlink ref="B678" r:id="rId583" display="13Х11Н2В2МФ-Ш(ЭИ-961Ш)"/>
    <hyperlink ref="B679" r:id="rId584" display="13Х11Н2В2МФ-Ш(ЭИ-961Ш)"/>
    <hyperlink ref="B222" r:id="rId585" display="http://www.profprokat.ru/content/view/731/76/"/>
    <hyperlink ref="B816" r:id="rId586" display="http://www.profprokat.ru/content/view/203/52/"/>
    <hyperlink ref="B680" r:id="rId587" display="13Х11Н2В2МФ-Ш(ЭИ-961Ш)"/>
    <hyperlink ref="B544" r:id="rId588" display="http://www.profprokat.ru/content/view/714/75/"/>
    <hyperlink ref="B547" r:id="rId589" display="http://www.profprokat.ru/content/view/714/75/"/>
    <hyperlink ref="B527" r:id="rId590" display="http://www.profprokat.ru/content/view/242/8/"/>
    <hyperlink ref="B636" r:id="rId591" display="14Х17Н2(ЭИ-268)"/>
    <hyperlink ref="B30" r:id="rId592" display="14Х17Н2(ЭИ-268)"/>
    <hyperlink ref="B793" r:id="rId593" display="12Х18Н10Т"/>
    <hyperlink ref="B794" r:id="rId594" display="12Х18Н10Т"/>
    <hyperlink ref="B755" r:id="rId595" display="http://www.profprokat.ru/content/view/242/8/"/>
    <hyperlink ref="B361" r:id="rId596" display="http://www.profprokat.ru/content/view/169/52/"/>
    <hyperlink ref="B129" r:id="rId597" display="http://www.profprokat.ru/content/view/1321/76/"/>
    <hyperlink ref="B148" r:id="rId598" display="http://www.profprokat.ru/content/view/1321/76/"/>
    <hyperlink ref="B163" r:id="rId599" display="http://www.profprokat.ru/content/view/1321/76/"/>
    <hyperlink ref="B172" r:id="rId600" display="http://www.profprokat.ru/content/view/1321/76/"/>
    <hyperlink ref="B188" r:id="rId601" display="http://www.profprokat.ru/content/view/1321/76/"/>
    <hyperlink ref="B205" r:id="rId602" display="http://www.profprokat.ru/content/view/1321/76/"/>
    <hyperlink ref="B587" r:id="rId603" display="http://www.profprokat.ru/content/view/179/8/"/>
    <hyperlink ref="B589" r:id="rId604" display="http://www.profprokat.ru/content/view/179/8/"/>
    <hyperlink ref="B388" r:id="rId605" display="http://www.profprokat.ru/content/view/1304/75/"/>
    <hyperlink ref="B134" r:id="rId606" display="http://www.profprokat.ru/content/view/1333/75/"/>
    <hyperlink ref="B384" r:id="rId607" display="http://www.profprokat.ru/content/view/1333/75/"/>
    <hyperlink ref="B554" r:id="rId608" display="http://www.profprokat.ru/content/view/241/8/"/>
    <hyperlink ref="B562" r:id="rId609" display="http://www.profprokat.ru/content/view/268/8/"/>
    <hyperlink ref="B218" r:id="rId610" display="14Х17Н2(ЭИ-268)"/>
    <hyperlink ref="B193" r:id="rId611" display="14Х17Н2(ЭИ-268)"/>
    <hyperlink ref="B454" r:id="rId612" display="http://www.profprokat.ru/content/view/473/72/"/>
    <hyperlink ref="B485" r:id="rId613" display="http://www.profprokat.ru/content/view/473/72/"/>
    <hyperlink ref="B496" r:id="rId614" display="http://www.profprokat.ru/content/view/473/72/"/>
    <hyperlink ref="B492" r:id="rId615" display="http://www.profprokat.ru/content/view/473/72/"/>
    <hyperlink ref="B489" r:id="rId616" display="http://www.profprokat.ru/content/view/473/72/"/>
    <hyperlink ref="B491" r:id="rId617" display="http://www.profprokat.ru/content/view/466/72/"/>
    <hyperlink ref="B484" r:id="rId618" display="http://www.profprokat.ru/content/view/466/72/"/>
    <hyperlink ref="B375" r:id="rId619" display="13Х11Н2В2МФ-Ш(ЭИ-961Ш)"/>
    <hyperlink ref="B335" r:id="rId620" display="http://www.profprokat.ru/content/view/725/76/"/>
    <hyperlink ref="B311" r:id="rId621" display="http://www.profprokat.ru/content/view/735/76/"/>
    <hyperlink ref="B292" r:id="rId622" display="http://www.profprokat.ru/content/view/1304/75/"/>
    <hyperlink ref="B90" r:id="rId623" display="http://www.profprokat.ru/content/view/169/52/"/>
    <hyperlink ref="B815" r:id="rId624" display="ст.45"/>
    <hyperlink ref="B594" r:id="rId625" display="http://www.profprokat.ru/content/view/877/74/"/>
    <hyperlink ref="B618" r:id="rId626" display="http://www.profprokat.ru/content/view/877/74/"/>
    <hyperlink ref="B617" r:id="rId627" display="http://www.profprokat.ru/content/view/877/74/"/>
    <hyperlink ref="B239" r:id="rId628" display="http://www.profprokat.ru/content/view/733/76/"/>
    <hyperlink ref="B708" r:id="rId629" display="http://www.profprokat.ru/content/view/242/8/"/>
    <hyperlink ref="B601" r:id="rId630" display="http://www.profprokat.ru/content/view/877/74/"/>
    <hyperlink ref="B603" r:id="rId631" display="http://www.profprokat.ru/content/view/877/74/"/>
    <hyperlink ref="B540" r:id="rId632" display="http://www.profprokat.ru/content/view/277/8/"/>
    <hyperlink ref="B536" r:id="rId633" display="http://www.profprokat.ru/content/view/277/8/"/>
    <hyperlink ref="B487" r:id="rId634" display="Х12МФ"/>
    <hyperlink ref="B309" r:id="rId635" display="http://www.profprokat.ru/content/view/770/76/"/>
    <hyperlink ref="B419" r:id="rId636" display="25Х13Н2(ЭИ 474)"/>
    <hyperlink ref="B412" r:id="rId637" display="http://www.profprokat.ru/content/view/737/76/"/>
    <hyperlink ref="B109" r:id="rId638" display="14Х17Н2(ЭИ-268)"/>
    <hyperlink ref="B619" r:id="rId639" display="10895/АРМКО"/>
    <hyperlink ref="B806" r:id="rId640" display="http://www.profprokat.ru/content/view/347/8/"/>
    <hyperlink ref="B808" r:id="rId641" display="http://www.profprokat.ru/content/view/347/8/"/>
    <hyperlink ref="B605" r:id="rId642" display="http://www.profprokat.ru/content/view/877/74/"/>
    <hyperlink ref="B152" r:id="rId643" display="http://www.profprokat.ru/content/view/1304/75/"/>
    <hyperlink ref="B184" r:id="rId644" display="http://www.profprokat.ru/content/view/752/76/"/>
    <hyperlink ref="B810" r:id="rId645" display="http://www.profprokat.ru/content/view/242/8/"/>
    <hyperlink ref="B181" r:id="rId646" display="http://www.profprokat.ru/content/view/693/75/"/>
    <hyperlink ref="B291" r:id="rId647" display="http://www.profprokat.ru/content/view/1315/76/"/>
    <hyperlink ref="B307" r:id="rId648" display="http://www.profprokat.ru/content/view/1315/76/"/>
    <hyperlink ref="B126" r:id="rId649" display="http://www.profprokat.ru/content/view/1320/75/"/>
    <hyperlink ref="B135" r:id="rId650" display="http://www.profprokat.ru/content/view/1320/75/"/>
    <hyperlink ref="B247" r:id="rId651" display="http://www.profprokat.ru/content/view/1320/75/"/>
    <hyperlink ref="B346" r:id="rId652" display="http://www.profprokat.ru/content/view/1320/75/"/>
    <hyperlink ref="B542" r:id="rId653" display="http://www.profprokat.ru/content/view/714/75/"/>
    <hyperlink ref="B728" r:id="rId654" display="14Х17Н2(ЭИ-268)"/>
    <hyperlink ref="B751" r:id="rId655" display="http://www.profprokat.ru/content/view/242/8/"/>
    <hyperlink ref="B305" r:id="rId656" display="http://www.profprokat.ru/content/view/1320/75/"/>
    <hyperlink ref="B198" r:id="rId657" display="http://www.profprokat.ru/content/view/1320/75/"/>
    <hyperlink ref="B624" r:id="rId658" display="12Х18Н10Т"/>
    <hyperlink ref="B38" r:id="rId659" display="25Х13Н2(ЭИ 474)"/>
    <hyperlink ref="B24" r:id="rId660" display="14Х17Н2(ЭИ-268)"/>
    <hyperlink ref="B396" r:id="rId661" display="08Х15Н5Д2Т(ЭП410У-Ш)"/>
    <hyperlink ref="B410" r:id="rId662" display="08Х15Н5Д2Т(ЭП410У-Ш)"/>
    <hyperlink ref="B249" r:id="rId663" display="http://www.profprokat.ru/content/view/1304/75/"/>
    <hyperlink ref="B331" r:id="rId664" display="http://www.profprokat.ru/content/view/1304/75/"/>
    <hyperlink ref="B144" r:id="rId665" display="14Х17Н2(ЭИ-268)"/>
    <hyperlink ref="B283" r:id="rId666" display="http://www.profprokat.ru/content/view/770/76/"/>
    <hyperlink ref="B254" r:id="rId667" display="http://www.profprokat.ru/content/view/725/76/"/>
    <hyperlink ref="B336" r:id="rId668" display="http://www.profprokat.ru/content/view/1321/76/"/>
    <hyperlink ref="B316" r:id="rId669" display="http://www.profprokat.ru/content/view/1321/76/"/>
    <hyperlink ref="B286" r:id="rId670" display="http://www.profprokat.ru/content/view/1321/76/"/>
    <hyperlink ref="B260" r:id="rId671" display="http://www.profprokat.ru/content/view/1321/76/"/>
    <hyperlink ref="B37" r:id="rId672" display="http://www.profprokat.ru/content/view/1321/76/"/>
    <hyperlink ref="B377" r:id="rId673" display="25Х13Н2(ЭИ 474)"/>
    <hyperlink ref="B367" r:id="rId674" display="25Х13Н2(ЭИ 474)"/>
    <hyperlink ref="B337" r:id="rId675" display="25Х13Н2(ЭИ 474)"/>
    <hyperlink ref="B288" r:id="rId676" display="25Х13Н2(ЭИ 474)"/>
    <hyperlink ref="B280" r:id="rId677" display="25Х13Н2(ЭИ 474)"/>
    <hyperlink ref="B805" r:id="rId678" display="http://www.profprokat.ru/content/view/403/72/"/>
    <hyperlink ref="B744" r:id="rId679" display="http://www.profprokat.ru/content/view/396/72/"/>
    <hyperlink ref="B85" r:id="rId680" display="http://www.profprokat.ru/content/view/1320/75/"/>
    <hyperlink ref="B127" r:id="rId681" display="http://www.profprokat.ru/content/view/1320/75/"/>
    <hyperlink ref="B746" r:id="rId682" display="http://www.profprokat.ru/content/view/242/8/"/>
    <hyperlink ref="B162" r:id="rId683" display="http://www.profprokat.ru/content/view/658/75/"/>
    <hyperlink ref="B140" r:id="rId684" display="http://www.profprokat.ru/content/view/658/75/"/>
    <hyperlink ref="B821" r:id="rId685" display="http://www.profprokat.ru/content/view/658/75/"/>
    <hyperlink ref="B759" r:id="rId686" display="http://www.profprokat.ru/content/view/766/76/"/>
    <hyperlink ref="B783" r:id="rId687" display="20Х23Н18(ЭИ-417)"/>
    <hyperlink ref="B306" r:id="rId688" display="http://www.profprokat.ru/content/view/1321/76/"/>
    <hyperlink ref="B287" r:id="rId689" display="http://www.profprokat.ru/content/view/1321/76/"/>
    <hyperlink ref="B261" r:id="rId690" display="http://www.profprokat.ru/content/view/1321/76/"/>
    <hyperlink ref="B393" r:id="rId691" display="25Х13Н2(ЭИ 474)"/>
    <hyperlink ref="B413" r:id="rId692" display="25Х13Н2(ЭИ 474)"/>
    <hyperlink ref="B62" r:id="rId693" display="13Х11Н2В2МФ-Ш(ЭИ-961Ш)"/>
    <hyperlink ref="B99" r:id="rId694" display="13Х11Н2В2МФ-Ш(ЭИ-961Ш)"/>
    <hyperlink ref="B35" r:id="rId695" display="http://www.profprokat.ru/content/view/725/76/"/>
    <hyperlink ref="B386" r:id="rId696" display="25Х13Н2(ЭИ 474)"/>
    <hyperlink ref="B97" r:id="rId697" display="14Х17Н2(ЭИ-268)"/>
    <hyperlink ref="B749" r:id="rId698" display="http://www.profprokat.ru/content/view/403/72/"/>
    <hyperlink ref="B727" r:id="rId699" display="40Х13"/>
    <hyperlink ref="B703" r:id="rId700" display="http://www.profprokat.ru/content/view/242/8/"/>
    <hyperlink ref="B224" r:id="rId701" display="14Х17Н2(ЭИ-268)"/>
    <hyperlink ref="B156" r:id="rId702" display="http://www.profprokat.ru/content/view/169/52/"/>
    <hyperlink ref="B120" r:id="rId703" display="http://www.profprokat.ru/content/view/693/75/"/>
    <hyperlink ref="B217" r:id="rId704" display="http://www.profprokat.ru/content/view/723/76/"/>
    <hyperlink ref="B756" r:id="rId705" display="http://www.profprokat.ru/content/view/203/52/"/>
    <hyperlink ref="B719" r:id="rId706" display="40Х13"/>
    <hyperlink ref="B51" r:id="rId707" display="http://www.profprokat.ru/content/view/1321/76/"/>
    <hyperlink ref="B112" r:id="rId708" display="http://www.profprokat.ru/content/view/1321/76/"/>
    <hyperlink ref="B232" r:id="rId709" display="http://www.profprokat.ru/content/view/1321/76/"/>
    <hyperlink ref="B53" r:id="rId710" display="25Х13Н2(ЭИ 474)"/>
    <hyperlink ref="B474" r:id="rId711" display="http://www.profprokat.ru/content/view/490/72/"/>
    <hyperlink ref="B490" r:id="rId712" display="http://www.profprokat.ru/content/view/490/72/"/>
    <hyperlink ref="B606" r:id="rId713" display="http://www.profprokat.ru/content/view/877/74/"/>
    <hyperlink ref="B458" r:id="rId714" display="http://www.profprokat.ru/content/view/490/72/"/>
    <hyperlink ref="B324" r:id="rId715" display="http://www.profprokat.ru/content/view/692/75/"/>
    <hyperlink ref="B395" r:id="rId716" display="http://www.profprokat.ru/content/view/692/75/"/>
    <hyperlink ref="B304" r:id="rId717" display="http://www.profprokat.ru/content/view/1300/76/"/>
    <hyperlink ref="B574" r:id="rId718" display="http://www.profprokat.ru/content/view/276/8/"/>
    <hyperlink ref="B418" r:id="rId719" display="13Х11Н2В2МФ-Ш(ЭИ-961Ш)"/>
    <hyperlink ref="B196" r:id="rId720" display="http://www.profprokat.ru/content/view/750/76/"/>
    <hyperlink ref="B84" r:id="rId721" display="08Х15Н5Д2Т(ЭП410У-Ш)"/>
    <hyperlink ref="B242" r:id="rId722" display="08Х15Н5Д2Т(ЭП410У-Ш)"/>
    <hyperlink ref="B341" r:id="rId723" display="13Х11Н2В2МФ-Ш(ЭИ-961Ш)"/>
    <hyperlink ref="B583" r:id="rId724" display="http://www.profprokat.ru/content/view/181/52/"/>
    <hyperlink ref="B334" r:id="rId725" display="http://www.profprokat.ru/content/view/1300/76/"/>
    <hyperlink ref="B763" r:id="rId726" display="Х12МФ"/>
    <hyperlink ref="B108" r:id="rId727" display="http://www.profprokat.ru/content/view/731/76/"/>
    <hyperlink ref="B398" r:id="rId728" display="25Х13Н2(ЭИ 474)"/>
    <hyperlink ref="B713" r:id="rId729" display="30Х13(ЭЖ-3)"/>
    <hyperlink ref="B721" r:id="rId730" display="08Х15Н5Д2Т(ЭП410У-Ш)"/>
    <hyperlink ref="B550" r:id="rId731" display="http://www.profprokat.ru/content/view/241/8/"/>
    <hyperlink ref="B119" r:id="rId732" display="http://www.profprokat.ru/content/view/735/76/"/>
    <hyperlink ref="B167" r:id="rId733" display="http://www.profprokat.ru/content/view/735/76/"/>
    <hyperlink ref="B551" r:id="rId734" display="http://www.profprokat.ru/content/view/277/8/"/>
    <hyperlink ref="B534" r:id="rId735" display="http://www.profprokat.ru/content/view/277/8/"/>
    <hyperlink ref="B102" r:id="rId736" display="http://www.profprokat.ru/content/view/169/52/"/>
    <hyperlink ref="B123" r:id="rId737" display="http://www.profprokat.ru/content/view/169/52/"/>
    <hyperlink ref="B185" r:id="rId738" display="http://www.profprokat.ru/content/view/169/52/"/>
    <hyperlink ref="B215" r:id="rId739" display="http://www.profprokat.ru/content/view/169/52/"/>
    <hyperlink ref="B243" r:id="rId740" display="http://www.profprokat.ru/content/view/169/52/"/>
    <hyperlink ref="B221" r:id="rId741" display="25Х13Н2(ЭИ 474)"/>
    <hyperlink ref="B364" r:id="rId742" display="http://www.profprokat.ru/content/view/692/75/"/>
    <hyperlink ref="B436" r:id="rId743" display="http://www.profprokat.ru/content/view/490/72/"/>
    <hyperlink ref="B440" r:id="rId744" display="http://www.profprokat.ru/content/view/490/72/"/>
    <hyperlink ref="B715" r:id="rId745" display="http://www.profprokat.ru/content/view/766/76/"/>
    <hyperlink ref="B717" r:id="rId746" display="14Х17Н2(ЭИ-268)"/>
    <hyperlink ref="B169" r:id="rId747" display="http://www.profprokat.ru/content/view/169/52/"/>
    <hyperlink ref="B313" r:id="rId748" display="http://www.profprokat.ru/content/view/169/52/"/>
    <hyperlink ref="B91" r:id="rId749" display="http://www.profprokat.ru/content/view/1315/76/"/>
    <hyperlink ref="B427" r:id="rId750" display="07Х16Н6-Ш(ЭП-288)"/>
    <hyperlink ref="B423" r:id="rId751" display="http://www.profprokat.ru/content/view/742/76/"/>
    <hyperlink ref="B564" r:id="rId752" display="http://www.profprokat.ru/content/view/241/8/"/>
    <hyperlink ref="B565" r:id="rId753" display="http://www.profprokat.ru/content/view/241/8/"/>
    <hyperlink ref="B566" r:id="rId754" display="http://www.profprokat.ru/content/view/241/8/"/>
    <hyperlink ref="B385" r:id="rId755" display="http://www.profprokat.ru/content/view/169/52/"/>
    <hyperlink ref="B351" r:id="rId756" display="http://www.profprokat.ru/content/view/169/52/"/>
    <hyperlink ref="B347" r:id="rId757" display="http://www.profprokat.ru/content/view/169/52/"/>
    <hyperlink ref="B302" r:id="rId758" display="http://www.profprokat.ru/content/view/169/52/"/>
    <hyperlink ref="B278" r:id="rId759" display="http://www.profprokat.ru/content/view/169/52/"/>
    <hyperlink ref="B264" r:id="rId760" display="25Х13Н2(ЭИ 474)"/>
    <hyperlink ref="B281" r:id="rId761" display="25Х13Н2(ЭИ 474)"/>
    <hyperlink ref="B146" r:id="rId762" display="07Х16Н6-Ш(ЭП-288)"/>
    <hyperlink ref="B256" r:id="rId763" display="25Х13Н2(ЭИ 474)"/>
    <hyperlink ref="B111" r:id="rId764" display="12Х18Н10Т"/>
    <hyperlink ref="B814" r:id="rId765" display="ст.45"/>
    <hyperlink ref="B253" r:id="rId766" display="07Х16Н6-Ш(ЭП-288)"/>
    <hyperlink ref="B136" r:id="rId767" display="http://www.profprokat.ru/content/view/1320/75/"/>
    <hyperlink ref="B128" r:id="rId768" display="http://www.profprokat.ru/content/view/692/75/"/>
    <hyperlink ref="B137" r:id="rId769" display="http://www.profprokat.ru/content/view/1317/75/"/>
  </hyperlinks>
  <printOptions horizontalCentered="1"/>
  <pageMargins left="0.3937007874015748" right="0.3937007874015748" top="0.3937007874015748" bottom="0.3937007874015748" header="0" footer="0"/>
  <pageSetup fitToHeight="5" fitToWidth="1" horizontalDpi="600" verticalDpi="600" orientation="portrait" paperSize="9" scale="38" r:id="rId771"/>
  <colBreaks count="1" manualBreakCount="1">
    <brk id="7" max="820" man="1"/>
  </colBreaks>
  <drawing r:id="rId7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ProfProkat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2018-01-16T13:22:12Z</cp:lastPrinted>
  <dcterms:created xsi:type="dcterms:W3CDTF">2010-09-03T12:32:19Z</dcterms:created>
  <dcterms:modified xsi:type="dcterms:W3CDTF">2018-06-04T06:03:16Z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